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ml.chartshapes+xml"/>
  <Override PartName="/xl/charts/chart6.xml" ContentType="application/vnd.openxmlformats-officedocument.drawingml.chart+xml"/>
  <Override PartName="/xl/drawings/drawing13.xml" ContentType="application/vnd.openxmlformats-officedocument.drawingml.chartshapes+xml"/>
  <Override PartName="/xl/charts/chart7.xml" ContentType="application/vnd.openxmlformats-officedocument.drawingml.chart+xml"/>
  <Override PartName="/xl/drawings/drawing14.xml" ContentType="application/vnd.openxmlformats-officedocument.drawingml.chartshapes+xml"/>
  <Override PartName="/xl/charts/chart8.xml" ContentType="application/vnd.openxmlformats-officedocument.drawingml.chart+xml"/>
  <Override PartName="/xl/drawings/drawing15.xml" ContentType="application/vnd.openxmlformats-officedocument.drawingml.chartshapes+xml"/>
  <Override PartName="/xl/charts/chart9.xml" ContentType="application/vnd.openxmlformats-officedocument.drawingml.chart+xml"/>
  <Override PartName="/xl/drawings/drawing16.xml" ContentType="application/vnd.openxmlformats-officedocument.drawingml.chartshapes+xml"/>
  <Override PartName="/xl/charts/chart10.xml" ContentType="application/vnd.openxmlformats-officedocument.drawingml.chart+xml"/>
  <Override PartName="/xl/drawings/drawing17.xml" ContentType="application/vnd.openxmlformats-officedocument.drawingml.chartshapes+xml"/>
  <Override PartName="/xl/charts/chart11.xml" ContentType="application/vnd.openxmlformats-officedocument.drawingml.chart+xml"/>
  <Override PartName="/xl/drawings/drawing18.xml" ContentType="application/vnd.openxmlformats-officedocument.drawingml.chartshapes+xml"/>
  <Override PartName="/xl/charts/chart12.xml" ContentType="application/vnd.openxmlformats-officedocument.drawingml.chart+xml"/>
  <Override PartName="/xl/drawings/drawing19.xml" ContentType="application/vnd.openxmlformats-officedocument.drawingml.chartshapes+xml"/>
  <Override PartName="/xl/charts/chart13.xml" ContentType="application/vnd.openxmlformats-officedocument.drawingml.chart+xml"/>
  <Override PartName="/xl/drawings/drawing20.xml" ContentType="application/vnd.openxmlformats-officedocument.drawingml.chartshapes+xml"/>
  <Override PartName="/xl/charts/chart14.xml" ContentType="application/vnd.openxmlformats-officedocument.drawingml.chart+xml"/>
  <Override PartName="/xl/drawings/drawing21.xml" ContentType="application/vnd.openxmlformats-officedocument.drawingml.chartshapes+xml"/>
  <Override PartName="/xl/charts/chart15.xml" ContentType="application/vnd.openxmlformats-officedocument.drawingml.chart+xml"/>
  <Override PartName="/xl/drawings/drawing22.xml" ContentType="application/vnd.openxmlformats-officedocument.drawingml.chartshapes+xml"/>
  <Override PartName="/xl/charts/chart16.xml" ContentType="application/vnd.openxmlformats-officedocument.drawingml.chart+xml"/>
  <Override PartName="/xl/drawings/drawing23.xml" ContentType="application/vnd.openxmlformats-officedocument.drawingml.chartshapes+xml"/>
  <Override PartName="/xl/charts/chart17.xml" ContentType="application/vnd.openxmlformats-officedocument.drawingml.chart+xml"/>
  <Override PartName="/xl/drawings/drawing24.xml" ContentType="application/vnd.openxmlformats-officedocument.drawingml.chartshapes+xml"/>
  <Override PartName="/xl/charts/chart18.xml" ContentType="application/vnd.openxmlformats-officedocument.drawingml.chart+xml"/>
  <Override PartName="/xl/drawings/drawing25.xml" ContentType="application/vnd.openxmlformats-officedocument.drawingml.chartshapes+xml"/>
  <Override PartName="/xl/charts/chart19.xml" ContentType="application/vnd.openxmlformats-officedocument.drawingml.chart+xml"/>
  <Override PartName="/xl/drawings/drawing26.xml" ContentType="application/vnd.openxmlformats-officedocument.drawingml.chartshapes+xml"/>
  <Override PartName="/xl/charts/chart20.xml" ContentType="application/vnd.openxmlformats-officedocument.drawingml.chart+xml"/>
  <Override PartName="/xl/drawings/drawing27.xml" ContentType="application/vnd.openxmlformats-officedocument.drawingml.chartshapes+xml"/>
  <Override PartName="/xl/charts/chart21.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howInkAnnotation="0" codeName="ThisWorkbook" defaultThemeVersion="124226"/>
  <mc:AlternateContent xmlns:mc="http://schemas.openxmlformats.org/markup-compatibility/2006">
    <mc:Choice Requires="x15">
      <x15ac:absPath xmlns:x15ac="http://schemas.microsoft.com/office/spreadsheetml/2010/11/ac" url="A:\1-PCCP\PCCP Projects\2012 47BR Development\- Aggregate Spreadsheets\"/>
    </mc:Choice>
  </mc:AlternateContent>
  <xr:revisionPtr revIDLastSave="0" documentId="8_{E046462A-A724-4236-9FEF-E222D68F7D62}" xr6:coauthVersionLast="45" xr6:coauthVersionMax="45" xr10:uidLastSave="{00000000-0000-0000-0000-000000000000}"/>
  <bookViews>
    <workbookView xWindow="19090" yWindow="-110" windowWidth="19420" windowHeight="10420" tabRatio="992" firstSheet="1" activeTab="1" xr2:uid="{00000000-000D-0000-FFFF-FFFF00000000}"/>
  </bookViews>
  <sheets>
    <sheet name="Procedures" sheetId="11" state="hidden" r:id="rId1"/>
    <sheet name="Mix Design Description" sheetId="10" r:id="rId2"/>
    <sheet name=" Mix Design" sheetId="12" r:id="rId3"/>
    <sheet name="Mix Design Test Results" sheetId="13" r:id="rId4"/>
    <sheet name="Data" sheetId="17" state="hidden" r:id="rId5"/>
    <sheet name="TAG" sheetId="16" r:id="rId6"/>
    <sheet name="Chart-Gradation Band" sheetId="18" r:id="rId7"/>
    <sheet name="Tarantula Sieve Transfer" sheetId="8" state="hidden" r:id="rId8"/>
    <sheet name="Sieve Analysis" sheetId="7" r:id="rId9"/>
    <sheet name="Tarantula Curve Mix Design" sheetId="6" r:id="rId10"/>
    <sheet name="Sheet5" sheetId="2" state="hidden" r:id="rId11"/>
    <sheet name="Sheet3" sheetId="3" state="hidden" r:id="rId12"/>
    <sheet name="Sheet4" sheetId="4" state="hidden" r:id="rId13"/>
  </sheets>
  <externalReferences>
    <externalReference r:id="rId14"/>
    <externalReference r:id="rId15"/>
  </externalReferences>
  <definedNames>
    <definedName name="_xlnm.Print_Area" localSheetId="2">' Mix Design'!$A$1:$L$52</definedName>
    <definedName name="_xlnm.Print_Area" localSheetId="4">Data!$J$3:$P$20</definedName>
    <definedName name="_xlnm.Print_Area" localSheetId="1">'Mix Design Description'!$A$1:$P$24</definedName>
    <definedName name="_xlnm.Print_Area" localSheetId="3">'Mix Design Test Results'!$A$1:$P$15</definedName>
    <definedName name="_xlnm.Print_Area" localSheetId="0">Procedures!$A$1:$O$29</definedName>
    <definedName name="_xlnm.Print_Area" localSheetId="5">TAG!$A$1:$L$41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6" l="1"/>
  <c r="G16" i="6"/>
  <c r="G14" i="6"/>
  <c r="G13" i="6"/>
  <c r="G12" i="6"/>
  <c r="G11" i="6"/>
  <c r="G10" i="6"/>
  <c r="G9" i="6"/>
  <c r="G8" i="6"/>
  <c r="G7" i="6"/>
  <c r="F22" i="6" l="1"/>
  <c r="F26" i="6"/>
  <c r="F23" i="6"/>
  <c r="C39" i="6"/>
  <c r="J8" i="7" l="1"/>
  <c r="C22" i="6" l="1"/>
  <c r="F25" i="6"/>
  <c r="K13" i="7"/>
  <c r="L35" i="16" l="1"/>
  <c r="K35" i="16"/>
  <c r="J35" i="16"/>
  <c r="I35" i="16"/>
  <c r="H35" i="16"/>
  <c r="G35" i="16"/>
  <c r="F35" i="16"/>
  <c r="E35" i="16"/>
  <c r="D35" i="16"/>
  <c r="A35" i="16"/>
  <c r="L34" i="16"/>
  <c r="K34" i="16"/>
  <c r="J34" i="16"/>
  <c r="I34" i="16"/>
  <c r="H34" i="16"/>
  <c r="G34" i="16"/>
  <c r="F34" i="16"/>
  <c r="E34" i="16"/>
  <c r="D34" i="16"/>
  <c r="A34" i="16"/>
  <c r="L33" i="16"/>
  <c r="K33" i="16"/>
  <c r="J33" i="16"/>
  <c r="I33" i="16"/>
  <c r="H33" i="16"/>
  <c r="G33" i="16"/>
  <c r="F33" i="16"/>
  <c r="E33" i="16"/>
  <c r="D33" i="16"/>
  <c r="A33" i="16"/>
  <c r="L32" i="16"/>
  <c r="K32" i="16"/>
  <c r="J32" i="16"/>
  <c r="I32" i="16"/>
  <c r="H32" i="16"/>
  <c r="G32" i="16"/>
  <c r="F32" i="16"/>
  <c r="E32" i="16"/>
  <c r="D32" i="16"/>
  <c r="A32" i="16"/>
  <c r="L31" i="16"/>
  <c r="K31" i="16"/>
  <c r="J31" i="16"/>
  <c r="I31" i="16"/>
  <c r="H31" i="16"/>
  <c r="G31" i="16"/>
  <c r="F31" i="16"/>
  <c r="E31" i="16"/>
  <c r="D31" i="16"/>
  <c r="A31" i="16"/>
  <c r="L30" i="16"/>
  <c r="K30" i="16"/>
  <c r="J30" i="16"/>
  <c r="I30" i="16"/>
  <c r="H30" i="16"/>
  <c r="G30" i="16"/>
  <c r="F30" i="16"/>
  <c r="E30" i="16"/>
  <c r="D30" i="16"/>
  <c r="A30" i="16"/>
  <c r="L29" i="16"/>
  <c r="K29" i="16"/>
  <c r="J29" i="16"/>
  <c r="I29" i="16"/>
  <c r="H29" i="16"/>
  <c r="G29" i="16"/>
  <c r="F29" i="16"/>
  <c r="E29" i="16"/>
  <c r="D29" i="16"/>
  <c r="A29" i="16"/>
  <c r="L28" i="16"/>
  <c r="K28" i="16"/>
  <c r="J28" i="16"/>
  <c r="I28" i="16"/>
  <c r="H28" i="16"/>
  <c r="G28" i="16"/>
  <c r="F28" i="16"/>
  <c r="E28" i="16"/>
  <c r="D28" i="16"/>
  <c r="A28" i="16"/>
  <c r="L27" i="16"/>
  <c r="K27" i="16"/>
  <c r="J27" i="16"/>
  <c r="I27" i="16"/>
  <c r="H27" i="16"/>
  <c r="G27" i="16"/>
  <c r="F27" i="16"/>
  <c r="E27" i="16"/>
  <c r="D27" i="16"/>
  <c r="A27" i="16"/>
  <c r="D24" i="16"/>
  <c r="D5" i="16"/>
  <c r="D3" i="16"/>
  <c r="I36" i="16" l="1"/>
  <c r="F36" i="16"/>
  <c r="F40" i="16" s="1"/>
  <c r="Q31" i="17" s="1"/>
  <c r="J36" i="16"/>
  <c r="J37" i="16" s="1"/>
  <c r="G36" i="16"/>
  <c r="G40" i="16" s="1"/>
  <c r="P31" i="17" s="1"/>
  <c r="K36" i="16"/>
  <c r="K40" i="16" s="1"/>
  <c r="L31" i="17" s="1"/>
  <c r="H36" i="16"/>
  <c r="H40" i="16" s="1"/>
  <c r="O31" i="17" s="1"/>
  <c r="L36" i="16"/>
  <c r="L40" i="16" s="1"/>
  <c r="K31" i="17" s="1"/>
  <c r="E36" i="16"/>
  <c r="E37" i="16" s="1"/>
  <c r="I40" i="16"/>
  <c r="N31" i="17" s="1"/>
  <c r="D4" i="13"/>
  <c r="D3" i="13"/>
  <c r="D2" i="13"/>
  <c r="G43" i="12"/>
  <c r="G42" i="12"/>
  <c r="G41" i="12"/>
  <c r="G40" i="12"/>
  <c r="G36" i="12"/>
  <c r="G46" i="12" s="1"/>
  <c r="G34" i="12"/>
  <c r="G45" i="12" s="1"/>
  <c r="G32" i="12"/>
  <c r="G44" i="12" s="1"/>
  <c r="G27" i="12"/>
  <c r="G26" i="12"/>
  <c r="G25" i="12"/>
  <c r="G24" i="12"/>
  <c r="G23" i="12"/>
  <c r="E20" i="12"/>
  <c r="G47" i="12" s="1"/>
  <c r="J40" i="16" l="1"/>
  <c r="M31" i="17" s="1"/>
  <c r="H37" i="16"/>
  <c r="K37" i="16"/>
  <c r="G37" i="16"/>
  <c r="I37" i="16"/>
  <c r="L37" i="16"/>
  <c r="M36" i="16"/>
  <c r="E40" i="16"/>
  <c r="R31" i="17" s="1"/>
  <c r="F37" i="16"/>
  <c r="G28" i="12"/>
  <c r="G30" i="12" s="1"/>
  <c r="M8" i="8"/>
  <c r="M9" i="8" s="1"/>
  <c r="M10" i="8" s="1"/>
  <c r="M11" i="8" s="1"/>
  <c r="M12" i="8" s="1"/>
  <c r="M13" i="8" s="1"/>
  <c r="M14" i="8" s="1"/>
  <c r="M15" i="8" s="1"/>
  <c r="M16" i="8" s="1"/>
  <c r="M17" i="8" s="1"/>
  <c r="M18" i="8" s="1"/>
  <c r="K8" i="8"/>
  <c r="K9" i="8" s="1"/>
  <c r="K10" i="8" s="1"/>
  <c r="K11" i="8" s="1"/>
  <c r="K12" i="8" s="1"/>
  <c r="K13" i="8" s="1"/>
  <c r="K14" i="8" s="1"/>
  <c r="K15" i="8" s="1"/>
  <c r="K16" i="8" s="1"/>
  <c r="K17" i="8" s="1"/>
  <c r="K18" i="8" s="1"/>
  <c r="J8" i="8"/>
  <c r="J9" i="8" s="1"/>
  <c r="J10" i="8" s="1"/>
  <c r="J11" i="8" s="1"/>
  <c r="J12" i="8" s="1"/>
  <c r="J13" i="8" s="1"/>
  <c r="J14" i="8" s="1"/>
  <c r="J15" i="8" s="1"/>
  <c r="J16" i="8" s="1"/>
  <c r="J17" i="8" s="1"/>
  <c r="J18" i="8" s="1"/>
  <c r="M37" i="16" l="1"/>
  <c r="N7" i="7"/>
  <c r="M7" i="7"/>
  <c r="L7" i="7"/>
  <c r="K7" i="7"/>
  <c r="J7" i="7"/>
  <c r="N18" i="7"/>
  <c r="N17" i="7"/>
  <c r="N16" i="7"/>
  <c r="N15" i="7"/>
  <c r="N14" i="7"/>
  <c r="N13" i="7"/>
  <c r="N12" i="7"/>
  <c r="N11" i="7"/>
  <c r="N10" i="7"/>
  <c r="N9" i="7"/>
  <c r="N8" i="7"/>
  <c r="M18" i="7"/>
  <c r="M17" i="7"/>
  <c r="M16" i="7"/>
  <c r="M15" i="7"/>
  <c r="M14" i="7"/>
  <c r="M13" i="7"/>
  <c r="M12" i="7"/>
  <c r="M11" i="7"/>
  <c r="M10" i="7"/>
  <c r="M9" i="7"/>
  <c r="M8" i="7"/>
  <c r="L18" i="7"/>
  <c r="L17" i="7"/>
  <c r="L16" i="7"/>
  <c r="L15" i="7"/>
  <c r="L14" i="7"/>
  <c r="L13" i="7"/>
  <c r="L12" i="7"/>
  <c r="L11" i="7"/>
  <c r="L10" i="7"/>
  <c r="L9" i="7"/>
  <c r="L8" i="7"/>
  <c r="J18" i="7"/>
  <c r="J17" i="7"/>
  <c r="J16" i="7"/>
  <c r="J15" i="7"/>
  <c r="J14" i="7"/>
  <c r="J13" i="7"/>
  <c r="J12" i="7"/>
  <c r="J11" i="7"/>
  <c r="J10" i="7"/>
  <c r="J9" i="7"/>
  <c r="K18" i="7"/>
  <c r="K17" i="7"/>
  <c r="K16" i="7"/>
  <c r="K15" i="7"/>
  <c r="K14" i="7"/>
  <c r="K12" i="7"/>
  <c r="K11" i="7"/>
  <c r="K10" i="7"/>
  <c r="K9" i="7"/>
  <c r="K8" i="7"/>
  <c r="E17" i="6" l="1"/>
  <c r="C23" i="6"/>
  <c r="C24" i="6"/>
  <c r="C25" i="6" s="1"/>
  <c r="F24" i="6" l="1"/>
  <c r="C43" i="6"/>
  <c r="C47" i="6"/>
  <c r="C40" i="6"/>
  <c r="C44" i="6"/>
  <c r="C48" i="6"/>
  <c r="C41" i="6"/>
  <c r="C45" i="6"/>
  <c r="C49" i="6"/>
  <c r="C42" i="6"/>
  <c r="C46" i="6"/>
  <c r="C38" i="6"/>
  <c r="D38" i="6" l="1"/>
  <c r="D48" i="6"/>
  <c r="G48" i="6" s="1"/>
  <c r="D39" i="6"/>
  <c r="G39" i="6" s="1"/>
  <c r="D43" i="6"/>
  <c r="G43" i="6" s="1"/>
  <c r="D47" i="6"/>
  <c r="G47" i="6" s="1"/>
  <c r="D42" i="6"/>
  <c r="G42" i="6" s="1"/>
  <c r="D46" i="6"/>
  <c r="D44" i="6"/>
  <c r="D41" i="6"/>
  <c r="G41" i="6" s="1"/>
  <c r="D45" i="6"/>
  <c r="G45" i="6" s="1"/>
  <c r="D49" i="6"/>
  <c r="G49" i="6" s="1"/>
  <c r="D40" i="6"/>
  <c r="G40" i="6" s="1"/>
  <c r="G17" i="6" l="1"/>
  <c r="E18" i="6" s="1"/>
  <c r="D54" i="6"/>
  <c r="E55" i="6" s="1"/>
  <c r="K25" i="6"/>
  <c r="K23" i="6"/>
  <c r="L23" i="6" s="1"/>
  <c r="D52" i="6"/>
  <c r="E52" i="6" s="1"/>
  <c r="G46" i="6"/>
  <c r="G44" i="6"/>
  <c r="D50" i="6"/>
  <c r="G38" i="6"/>
  <c r="G49" i="2"/>
  <c r="H49" i="2"/>
  <c r="G52" i="2"/>
  <c r="G54" i="2"/>
  <c r="CB1" i="2"/>
  <c r="CC1" i="2"/>
  <c r="C26" i="6" l="1"/>
  <c r="E56" i="6"/>
  <c r="L27" i="6"/>
  <c r="L26" i="6"/>
  <c r="C74" i="2"/>
  <c r="D74" i="2"/>
  <c r="B74" i="2"/>
  <c r="BA21" i="4" l="1"/>
  <c r="BA20" i="4"/>
  <c r="BD21" i="4"/>
  <c r="BD20" i="4"/>
  <c r="BF21" i="4"/>
  <c r="BF20" i="4"/>
  <c r="BI20" i="4"/>
  <c r="AY20" i="4" s="1"/>
  <c r="BH20" i="4"/>
  <c r="AZ20" i="4" s="1"/>
  <c r="BH12" i="4"/>
  <c r="BK16" i="4"/>
  <c r="BF15" i="4"/>
  <c r="BI12" i="4"/>
  <c r="AY12" i="4" s="1"/>
  <c r="AZ12" i="4"/>
  <c r="AL15" i="4"/>
  <c r="AM22" i="4"/>
  <c r="AM29" i="4" s="1"/>
  <c r="AL22" i="4"/>
  <c r="AL29" i="4" s="1"/>
  <c r="AJ22" i="4"/>
  <c r="AJ29" i="4" s="1"/>
  <c r="AI22" i="4"/>
  <c r="AI29" i="4" s="1"/>
  <c r="AH22" i="4"/>
  <c r="AH29" i="4" s="1"/>
  <c r="AG22" i="4"/>
  <c r="AG29" i="4" s="1"/>
  <c r="AM21" i="4"/>
  <c r="AM28" i="4" s="1"/>
  <c r="AL21" i="4"/>
  <c r="AL28" i="4" s="1"/>
  <c r="AJ21" i="4"/>
  <c r="AJ28" i="4" s="1"/>
  <c r="AI21" i="4"/>
  <c r="AI28" i="4" s="1"/>
  <c r="AH21" i="4"/>
  <c r="AH28" i="4" s="1"/>
  <c r="AG21" i="4"/>
  <c r="AG28" i="4" s="1"/>
  <c r="AM20" i="4"/>
  <c r="AM30" i="4" s="1"/>
  <c r="AL20" i="4"/>
  <c r="AL30" i="4" s="1"/>
  <c r="AJ20" i="4"/>
  <c r="AJ30" i="4" s="1"/>
  <c r="AI20" i="4"/>
  <c r="AI30" i="4" s="1"/>
  <c r="AH20" i="4"/>
  <c r="AH30" i="4" s="1"/>
  <c r="AG20" i="4"/>
  <c r="AG30" i="4" s="1"/>
  <c r="AQ16" i="4"/>
  <c r="AO12" i="4"/>
  <c r="AE12" i="4" s="1"/>
  <c r="AN12" i="4"/>
  <c r="AN20" i="4" s="1"/>
  <c r="AN28" i="4" s="1"/>
  <c r="AL31" i="4" l="1"/>
  <c r="BF23" i="4"/>
  <c r="BK24" i="4"/>
  <c r="BK27" i="4" s="1"/>
  <c r="AF12" i="4"/>
  <c r="AF20" i="4" s="1"/>
  <c r="AF28" i="4" s="1"/>
  <c r="AL23" i="4"/>
  <c r="BC24" i="4"/>
  <c r="BC16" i="4"/>
  <c r="AQ24" i="4"/>
  <c r="AE20" i="4"/>
  <c r="AQ32" i="4"/>
  <c r="AO20" i="4"/>
  <c r="AO28" i="4" s="1"/>
  <c r="AE28" i="4" s="1"/>
  <c r="CI32" i="3"/>
  <c r="CI31" i="3"/>
  <c r="CI30" i="3"/>
  <c r="CI29" i="3"/>
  <c r="CI28" i="3"/>
  <c r="CI27" i="3"/>
  <c r="CI26" i="3"/>
  <c r="CI25" i="3"/>
  <c r="CI24" i="3"/>
  <c r="CI23" i="3"/>
  <c r="CI22" i="3"/>
  <c r="CI21" i="3"/>
  <c r="CI20" i="3"/>
  <c r="CI19" i="3"/>
  <c r="BZ18" i="3"/>
  <c r="BZ19" i="3"/>
  <c r="BZ20" i="3"/>
  <c r="BZ21" i="3"/>
  <c r="BZ22" i="3"/>
  <c r="BZ23" i="3"/>
  <c r="BZ24" i="3"/>
  <c r="BZ25" i="3"/>
  <c r="BZ26" i="3"/>
  <c r="BZ27" i="3"/>
  <c r="BZ28" i="3"/>
  <c r="BZ29" i="3"/>
  <c r="BZ30" i="3"/>
  <c r="BZ31" i="3"/>
  <c r="BZ32" i="3"/>
  <c r="BZ33" i="3"/>
  <c r="BZ34" i="3"/>
  <c r="BZ35" i="3"/>
  <c r="BZ36" i="3"/>
  <c r="BZ37" i="3"/>
  <c r="BZ38" i="3"/>
  <c r="BZ39" i="3"/>
  <c r="BZ40" i="3"/>
  <c r="BZ41" i="3"/>
  <c r="BZ42" i="3"/>
  <c r="BZ43" i="3"/>
  <c r="BZ44" i="3"/>
  <c r="BZ45" i="3"/>
  <c r="BZ46" i="3"/>
  <c r="BZ47" i="3"/>
  <c r="BZ48" i="3"/>
  <c r="BZ49" i="3"/>
  <c r="BZ50" i="3"/>
  <c r="BZ51" i="3"/>
  <c r="BZ52" i="3"/>
  <c r="BZ53" i="3"/>
  <c r="BZ54" i="3"/>
  <c r="BZ55" i="3"/>
  <c r="BZ56" i="3"/>
  <c r="BZ57" i="3"/>
  <c r="BZ58" i="3"/>
  <c r="BZ59" i="3"/>
  <c r="BZ60" i="3"/>
  <c r="AI32" i="4" l="1"/>
  <c r="AI24" i="4"/>
  <c r="AI16" i="4"/>
  <c r="BC27" i="4"/>
  <c r="AQ36" i="4"/>
  <c r="AI36" i="4" l="1"/>
  <c r="I55" i="4"/>
  <c r="G55" i="4" s="1"/>
  <c r="J55" i="4"/>
  <c r="K55" i="4"/>
  <c r="L56" i="4"/>
  <c r="O60" i="4" s="1"/>
  <c r="L55" i="4"/>
  <c r="M57" i="4"/>
  <c r="L45" i="4"/>
  <c r="L44" i="4"/>
  <c r="M47" i="4"/>
  <c r="K44" i="4"/>
  <c r="L57" i="4" l="1"/>
  <c r="I44" i="4"/>
  <c r="G44" i="4" s="1"/>
  <c r="O50" i="4"/>
  <c r="L47" i="4"/>
  <c r="H55" i="4"/>
  <c r="F55" i="4" s="1"/>
  <c r="M60" i="4" s="1"/>
  <c r="N60" i="4"/>
  <c r="J44" i="4"/>
  <c r="N50" i="4"/>
  <c r="I36" i="4"/>
  <c r="I35" i="4"/>
  <c r="I34" i="4"/>
  <c r="G30" i="4"/>
  <c r="F30" i="4"/>
  <c r="L31" i="4"/>
  <c r="G29" i="4"/>
  <c r="F29" i="4"/>
  <c r="G28" i="4"/>
  <c r="F28" i="4"/>
  <c r="AC51" i="4"/>
  <c r="AC50" i="4"/>
  <c r="AC49" i="4"/>
  <c r="AC48" i="4"/>
  <c r="AC47" i="4"/>
  <c r="AC46" i="4"/>
  <c r="AC45" i="4"/>
  <c r="H44" i="4" l="1"/>
  <c r="F44" i="4" s="1"/>
  <c r="M50" i="4" s="1"/>
  <c r="L50" i="4" s="1"/>
  <c r="F34" i="4"/>
  <c r="F36" i="4"/>
  <c r="L60" i="4"/>
  <c r="J35" i="4"/>
  <c r="F35" i="4"/>
  <c r="G36" i="4"/>
  <c r="G31" i="4"/>
  <c r="J34" i="4"/>
  <c r="G34" i="4"/>
  <c r="H34" i="4" s="1"/>
  <c r="G35" i="4"/>
  <c r="F31" i="4"/>
  <c r="H35" i="4" l="1"/>
  <c r="H36" i="4"/>
  <c r="F32" i="3"/>
  <c r="AZ73" i="3"/>
  <c r="BC73" i="3" s="1"/>
  <c r="AZ76" i="3"/>
  <c r="AZ74" i="3"/>
  <c r="AZ75" i="3"/>
  <c r="BC75" i="3" s="1"/>
  <c r="AZ69" i="3"/>
  <c r="BC69" i="3" s="1"/>
  <c r="AZ78" i="3"/>
  <c r="AZ72" i="3"/>
  <c r="AZ65" i="3"/>
  <c r="BC65" i="3" s="1"/>
  <c r="AZ66" i="3"/>
  <c r="BC66" i="3" s="1"/>
  <c r="AZ77" i="3"/>
  <c r="BC77" i="3" s="1"/>
  <c r="AZ70" i="3"/>
  <c r="AZ67" i="3"/>
  <c r="BC67" i="3" s="1"/>
  <c r="AZ71" i="3"/>
  <c r="BC71" i="3" s="1"/>
  <c r="AZ68" i="3"/>
  <c r="BC68" i="3" s="1"/>
  <c r="AZ60" i="3"/>
  <c r="AZ59" i="3"/>
  <c r="AZ56" i="3"/>
  <c r="AZ55" i="3"/>
  <c r="AZ51" i="3"/>
  <c r="AZ52" i="3"/>
  <c r="BC52" i="3" s="1"/>
  <c r="AZ61" i="3"/>
  <c r="BC61" i="3" s="1"/>
  <c r="AZ58" i="3"/>
  <c r="BC58" i="3" s="1"/>
  <c r="AZ57" i="3"/>
  <c r="BC57" i="3" s="1"/>
  <c r="AZ54" i="3"/>
  <c r="BC54" i="3" s="1"/>
  <c r="AZ53" i="3"/>
  <c r="BC53" i="3" s="1"/>
  <c r="AZ50" i="3"/>
  <c r="BC50" i="3" s="1"/>
  <c r="AZ49" i="3"/>
  <c r="BC49" i="3" s="1"/>
  <c r="AZ48" i="3"/>
  <c r="BC48" i="3" s="1"/>
  <c r="AZ37" i="3"/>
  <c r="AZ38" i="3"/>
  <c r="AZ39" i="3"/>
  <c r="AZ40" i="3"/>
  <c r="AZ41" i="3"/>
  <c r="AZ36" i="3"/>
  <c r="BC36" i="3" s="1"/>
  <c r="AZ33" i="3"/>
  <c r="BC33" i="3" s="1"/>
  <c r="AZ30" i="3"/>
  <c r="BC30" i="3" s="1"/>
  <c r="AZ35" i="3"/>
  <c r="BC35" i="3" s="1"/>
  <c r="AZ28" i="3"/>
  <c r="BC28" i="3" s="1"/>
  <c r="AZ32" i="3"/>
  <c r="BC32" i="3" s="1"/>
  <c r="AZ29" i="3"/>
  <c r="BC29" i="3" s="1"/>
  <c r="AZ34" i="3"/>
  <c r="BC34" i="3" s="1"/>
  <c r="AZ31" i="3"/>
  <c r="BC31" i="3" s="1"/>
  <c r="F45" i="3"/>
  <c r="F44" i="3"/>
  <c r="F43" i="3"/>
  <c r="F42" i="3"/>
  <c r="F41" i="3"/>
  <c r="F40" i="3"/>
  <c r="I40" i="3" s="1"/>
  <c r="F39" i="3"/>
  <c r="I39" i="3" s="1"/>
  <c r="F38" i="3"/>
  <c r="I38" i="3" s="1"/>
  <c r="F37" i="3"/>
  <c r="I37" i="3" s="1"/>
  <c r="F36" i="3"/>
  <c r="I36" i="3" s="1"/>
  <c r="F35" i="3"/>
  <c r="I35" i="3" s="1"/>
  <c r="F34" i="3"/>
  <c r="I34" i="3" s="1"/>
  <c r="F33" i="3"/>
  <c r="H37" i="4" l="1"/>
  <c r="E74" i="2"/>
  <c r="D78" i="2" l="1"/>
  <c r="C78" i="2"/>
  <c r="B78" i="2"/>
  <c r="E174" i="2"/>
  <c r="D174" i="2"/>
  <c r="C174" i="2"/>
  <c r="B174" i="2"/>
  <c r="D153" i="2"/>
  <c r="C153" i="2"/>
  <c r="B153" i="2"/>
  <c r="E78" i="2" l="1"/>
  <c r="F174" i="2"/>
  <c r="B177" i="2" s="1"/>
  <c r="E153" i="2"/>
  <c r="D150" i="2" l="1"/>
  <c r="C150" i="2"/>
  <c r="B150" i="2"/>
  <c r="E150" i="2" l="1"/>
  <c r="B154" i="2" s="1"/>
  <c r="B155" i="2" s="1"/>
  <c r="E225" i="2" l="1"/>
  <c r="D228" i="2" s="1"/>
  <c r="E86" i="2"/>
  <c r="D90" i="2" s="1"/>
  <c r="E113" i="2"/>
  <c r="D116" i="2" s="1"/>
  <c r="E140" i="2"/>
  <c r="D143" i="2" s="1"/>
  <c r="E168" i="2"/>
  <c r="D171" i="2" s="1"/>
  <c r="E197" i="2"/>
  <c r="D200" i="2" s="1"/>
  <c r="I61" i="2" l="1"/>
  <c r="B228" i="2"/>
  <c r="C228" i="2"/>
  <c r="B200" i="2"/>
  <c r="C200" i="2"/>
  <c r="B171" i="2"/>
  <c r="C171" i="2"/>
  <c r="B143" i="2"/>
  <c r="C143" i="2"/>
  <c r="B116" i="2"/>
  <c r="C116" i="2"/>
  <c r="B90" i="2"/>
  <c r="C90" i="2"/>
  <c r="I92" i="2" l="1"/>
  <c r="I237" i="2"/>
  <c r="I233" i="2"/>
  <c r="I229" i="2"/>
  <c r="I236" i="2"/>
  <c r="I232" i="2"/>
  <c r="I228" i="2"/>
  <c r="I235" i="2"/>
  <c r="I231" i="2"/>
  <c r="I227" i="2"/>
  <c r="I234" i="2"/>
  <c r="I230" i="2"/>
  <c r="I226" i="2"/>
  <c r="I209" i="2"/>
  <c r="I205" i="2"/>
  <c r="I201" i="2"/>
  <c r="I208" i="2"/>
  <c r="I204" i="2"/>
  <c r="I200" i="2"/>
  <c r="I207" i="2"/>
  <c r="I203" i="2"/>
  <c r="I199" i="2"/>
  <c r="I206" i="2"/>
  <c r="I202" i="2"/>
  <c r="I198" i="2"/>
  <c r="I180" i="2"/>
  <c r="I176" i="2"/>
  <c r="I172" i="2"/>
  <c r="I179" i="2"/>
  <c r="I175" i="2"/>
  <c r="AG188" i="2" s="1"/>
  <c r="I171" i="2"/>
  <c r="I178" i="2"/>
  <c r="I174" i="2"/>
  <c r="I170" i="2"/>
  <c r="I177" i="2"/>
  <c r="I173" i="2"/>
  <c r="I169" i="2"/>
  <c r="I152" i="2"/>
  <c r="I148" i="2"/>
  <c r="I144" i="2"/>
  <c r="I151" i="2"/>
  <c r="I147" i="2"/>
  <c r="AG160" i="2" s="1"/>
  <c r="I143" i="2"/>
  <c r="I150" i="2"/>
  <c r="I146" i="2"/>
  <c r="I142" i="2"/>
  <c r="I149" i="2"/>
  <c r="I145" i="2"/>
  <c r="I141" i="2"/>
  <c r="I125" i="2"/>
  <c r="I121" i="2"/>
  <c r="I117" i="2"/>
  <c r="I124" i="2"/>
  <c r="I120" i="2"/>
  <c r="I116" i="2"/>
  <c r="I123" i="2"/>
  <c r="I119" i="2"/>
  <c r="I115" i="2"/>
  <c r="I122" i="2"/>
  <c r="I118" i="2"/>
  <c r="I114" i="2"/>
  <c r="I96" i="2"/>
  <c r="I88" i="2"/>
  <c r="I98" i="2"/>
  <c r="I93" i="2"/>
  <c r="AG104" i="2" s="1"/>
  <c r="I87" i="2"/>
  <c r="I97" i="2"/>
  <c r="I91" i="2"/>
  <c r="I95" i="2"/>
  <c r="I90" i="2"/>
  <c r="I94" i="2"/>
  <c r="I89" i="2"/>
  <c r="M68" i="2" l="1"/>
  <c r="M72" i="2" s="1"/>
  <c r="M67" i="2"/>
  <c r="M71" i="2" s="1"/>
  <c r="L67" i="2"/>
  <c r="L71" i="2" s="1"/>
  <c r="I70" i="2" l="1"/>
  <c r="I66" i="2"/>
  <c r="I62" i="2"/>
  <c r="I69" i="2"/>
  <c r="I65" i="2"/>
  <c r="I72" i="2"/>
  <c r="I68" i="2"/>
  <c r="I64" i="2"/>
  <c r="I71" i="2"/>
  <c r="I67" i="2"/>
  <c r="AG77" i="2" s="1"/>
  <c r="I63" i="2"/>
  <c r="AG217" i="2"/>
  <c r="AG132" i="2"/>
  <c r="J237" i="2"/>
  <c r="J236" i="2"/>
  <c r="J235" i="2"/>
  <c r="J234" i="2"/>
  <c r="J233" i="2"/>
  <c r="J232" i="2"/>
  <c r="J231" i="2"/>
  <c r="J230" i="2"/>
  <c r="J229" i="2"/>
  <c r="J228" i="2"/>
  <c r="J227" i="2"/>
  <c r="J226" i="2"/>
  <c r="K226" i="2" s="1"/>
  <c r="J209" i="2"/>
  <c r="J208" i="2"/>
  <c r="J207" i="2"/>
  <c r="J206" i="2"/>
  <c r="J205" i="2"/>
  <c r="J204" i="2"/>
  <c r="J203" i="2"/>
  <c r="J202" i="2"/>
  <c r="J201" i="2"/>
  <c r="J200" i="2"/>
  <c r="J199" i="2"/>
  <c r="J198" i="2"/>
  <c r="K198" i="2" s="1"/>
  <c r="J180" i="2"/>
  <c r="J179" i="2"/>
  <c r="J178" i="2"/>
  <c r="J177" i="2"/>
  <c r="J176" i="2"/>
  <c r="J175" i="2"/>
  <c r="J174" i="2"/>
  <c r="J173" i="2"/>
  <c r="J172" i="2"/>
  <c r="J171" i="2"/>
  <c r="J170" i="2"/>
  <c r="J169" i="2"/>
  <c r="J152" i="2"/>
  <c r="J151" i="2"/>
  <c r="J150" i="2"/>
  <c r="J149" i="2"/>
  <c r="J148" i="2"/>
  <c r="J147" i="2"/>
  <c r="J146" i="2"/>
  <c r="J145" i="2"/>
  <c r="J144" i="2"/>
  <c r="J143" i="2"/>
  <c r="J142" i="2"/>
  <c r="J141" i="2"/>
  <c r="J125" i="2"/>
  <c r="J124" i="2"/>
  <c r="J123" i="2"/>
  <c r="J122" i="2"/>
  <c r="J121" i="2"/>
  <c r="J120" i="2"/>
  <c r="J119" i="2"/>
  <c r="J118" i="2"/>
  <c r="J117" i="2"/>
  <c r="J116" i="2"/>
  <c r="J115" i="2"/>
  <c r="J114" i="2"/>
  <c r="J98" i="2"/>
  <c r="J97" i="2"/>
  <c r="J96" i="2"/>
  <c r="J95" i="2"/>
  <c r="J94" i="2"/>
  <c r="J93" i="2"/>
  <c r="J92" i="2"/>
  <c r="J91" i="2"/>
  <c r="J90" i="2"/>
  <c r="J89" i="2"/>
  <c r="J88" i="2"/>
  <c r="J87" i="2"/>
  <c r="J66" i="2" l="1"/>
  <c r="J72" i="2"/>
  <c r="J64" i="2"/>
  <c r="J69" i="2"/>
  <c r="J68" i="2"/>
  <c r="J65" i="2"/>
  <c r="J70" i="2"/>
  <c r="J62" i="2"/>
  <c r="J61" i="2"/>
  <c r="J63" i="2"/>
  <c r="J67" i="2"/>
  <c r="J71" i="2"/>
  <c r="K199" i="2"/>
  <c r="K200" i="2" s="1"/>
  <c r="K201" i="2" s="1"/>
  <c r="K202" i="2" s="1"/>
  <c r="K227" i="2"/>
  <c r="K228" i="2" s="1"/>
  <c r="K229" i="2" s="1"/>
  <c r="K230" i="2" l="1"/>
  <c r="K203" i="2"/>
  <c r="K204" i="2" s="1"/>
  <c r="K205" i="2" s="1"/>
  <c r="K206" i="2" s="1"/>
  <c r="K207" i="2" s="1"/>
  <c r="K208" i="2" s="1"/>
  <c r="K209" i="2" s="1"/>
  <c r="B63" i="2"/>
  <c r="BC51" i="3" l="1"/>
  <c r="I41" i="3"/>
  <c r="BC70" i="3"/>
  <c r="BC41" i="3"/>
  <c r="AB135" i="3"/>
  <c r="AB80" i="3"/>
  <c r="AB108" i="3"/>
  <c r="AB24" i="3"/>
  <c r="AB52" i="3"/>
  <c r="AG216" i="2"/>
  <c r="K231" i="2"/>
  <c r="K232" i="2" s="1"/>
  <c r="K233" i="2" s="1"/>
  <c r="K234" i="2" s="1"/>
  <c r="K235" i="2" s="1"/>
  <c r="K236" i="2" s="1"/>
  <c r="K237" i="2" s="1"/>
  <c r="K89" i="2"/>
  <c r="K90" i="2" s="1"/>
  <c r="K91" i="2" s="1"/>
  <c r="K170" i="2"/>
  <c r="K116" i="2"/>
  <c r="K117" i="2" s="1"/>
  <c r="K118" i="2" s="1"/>
  <c r="K171" i="2"/>
  <c r="K172" i="2" s="1"/>
  <c r="K173" i="2" s="1"/>
  <c r="K115" i="2"/>
  <c r="K169" i="2"/>
  <c r="K143" i="2"/>
  <c r="K144" i="2" s="1"/>
  <c r="K142" i="2"/>
  <c r="K141" i="2"/>
  <c r="K114" i="2"/>
  <c r="K88" i="2"/>
  <c r="K87" i="2"/>
  <c r="D70" i="2"/>
  <c r="E70" i="2" s="1"/>
  <c r="D69" i="2"/>
  <c r="E69" i="2" s="1"/>
  <c r="D68" i="2"/>
  <c r="E68" i="2" s="1"/>
  <c r="D67" i="2"/>
  <c r="E67" i="2" s="1"/>
  <c r="D66" i="2"/>
  <c r="E66" i="2" s="1"/>
  <c r="D65" i="2"/>
  <c r="E65" i="2" s="1"/>
  <c r="D64" i="2"/>
  <c r="E64" i="2" s="1"/>
  <c r="D63" i="2"/>
  <c r="E63" i="2" s="1"/>
  <c r="D62" i="2"/>
  <c r="E62" i="2" s="1"/>
  <c r="D61" i="2"/>
  <c r="E61" i="2" s="1"/>
  <c r="L68" i="2" s="1"/>
  <c r="D60" i="2"/>
  <c r="E60" i="2" s="1"/>
  <c r="L63" i="2" s="1"/>
  <c r="D59" i="2"/>
  <c r="E59" i="2" s="1"/>
  <c r="L72" i="2" s="1"/>
  <c r="K145" i="2" l="1"/>
  <c r="K92" i="2"/>
  <c r="K93" i="2" s="1"/>
  <c r="K94" i="2" s="1"/>
  <c r="K95" i="2" s="1"/>
  <c r="K96" i="2" s="1"/>
  <c r="K97" i="2" s="1"/>
  <c r="K98" i="2" s="1"/>
  <c r="K174" i="2"/>
  <c r="K175" i="2" s="1"/>
  <c r="K176" i="2" s="1"/>
  <c r="K177" i="2" s="1"/>
  <c r="K178" i="2" s="1"/>
  <c r="K179" i="2" s="1"/>
  <c r="K180" i="2" s="1"/>
  <c r="K119" i="2"/>
  <c r="K120" i="2" s="1"/>
  <c r="K121" i="2" s="1"/>
  <c r="K122" i="2" s="1"/>
  <c r="K123" i="2" s="1"/>
  <c r="K124" i="2" s="1"/>
  <c r="K125" i="2" s="1"/>
  <c r="AG187" i="2" l="1"/>
  <c r="AG131" i="2"/>
  <c r="K146" i="2"/>
  <c r="K147" i="2" s="1"/>
  <c r="AG159" i="2" s="1"/>
  <c r="AG103" i="2"/>
  <c r="K62" i="2"/>
  <c r="K148" i="2" l="1"/>
  <c r="K149" i="2" s="1"/>
  <c r="K150" i="2" s="1"/>
  <c r="K151" i="2" s="1"/>
  <c r="K152" i="2" s="1"/>
  <c r="K63" i="2"/>
  <c r="K64" i="2" s="1"/>
  <c r="K65" i="2" s="1"/>
  <c r="K61" i="2"/>
  <c r="K66" i="2" l="1"/>
  <c r="K67" i="2" l="1"/>
  <c r="K68" i="2" s="1"/>
  <c r="K69" i="2" s="1"/>
  <c r="K70" i="2" s="1"/>
  <c r="K71" i="2" s="1"/>
  <c r="K72" i="2" s="1"/>
  <c r="AG76" i="2" l="1"/>
</calcChain>
</file>

<file path=xl/sharedStrings.xml><?xml version="1.0" encoding="utf-8"?>
<sst xmlns="http://schemas.openxmlformats.org/spreadsheetml/2006/main" count="1013" uniqueCount="392">
  <si>
    <t>1.5"</t>
  </si>
  <si>
    <t>1/2"</t>
  </si>
  <si>
    <t>#4</t>
  </si>
  <si>
    <t>1"</t>
  </si>
  <si>
    <t>3/8"</t>
  </si>
  <si>
    <t>#8</t>
  </si>
  <si>
    <t>3/4"</t>
  </si>
  <si>
    <t>#16</t>
  </si>
  <si>
    <t>#30</t>
  </si>
  <si>
    <t>#50</t>
  </si>
  <si>
    <t>#100</t>
  </si>
  <si>
    <t>Pan</t>
  </si>
  <si>
    <t>#200</t>
  </si>
  <si>
    <t>p^.45</t>
  </si>
  <si>
    <t>G3</t>
  </si>
  <si>
    <t>sand</t>
  </si>
  <si>
    <t>Sieve Number</t>
  </si>
  <si>
    <t>Grade 3</t>
  </si>
  <si>
    <t>Sand</t>
  </si>
  <si>
    <t>total</t>
  </si>
  <si>
    <t>Mix#</t>
  </si>
  <si>
    <t>Mix 2</t>
  </si>
  <si>
    <t>sieve(in)</t>
  </si>
  <si>
    <t>sieve(mm)</t>
  </si>
  <si>
    <t xml:space="preserve">Original Proportions </t>
  </si>
  <si>
    <r>
      <t>Sieve(</t>
    </r>
    <r>
      <rPr>
        <sz val="11"/>
        <color theme="1"/>
        <rFont val="Calibri"/>
        <family val="2"/>
      </rPr>
      <t>ʍ)</t>
    </r>
  </si>
  <si>
    <t>passing%</t>
  </si>
  <si>
    <t>Retaiened%</t>
  </si>
  <si>
    <t>%</t>
  </si>
  <si>
    <t>cum. Reatained%</t>
  </si>
  <si>
    <t>Combined mix proportions</t>
  </si>
  <si>
    <t>CF=</t>
  </si>
  <si>
    <t>WF=</t>
  </si>
  <si>
    <t>cement</t>
  </si>
  <si>
    <t>Fly Ash</t>
  </si>
  <si>
    <t>Max density Line</t>
  </si>
  <si>
    <t>Mix 7</t>
  </si>
  <si>
    <t>x</t>
  </si>
  <si>
    <t>y</t>
  </si>
  <si>
    <t>Workability Box</t>
  </si>
  <si>
    <t xml:space="preserve">CF </t>
  </si>
  <si>
    <t>WF</t>
  </si>
  <si>
    <t>Factor</t>
  </si>
  <si>
    <t>Mix 10</t>
  </si>
  <si>
    <t>Mix 14</t>
  </si>
  <si>
    <t>Mix 15</t>
  </si>
  <si>
    <t>Mix 17</t>
  </si>
  <si>
    <t>Mix 18</t>
  </si>
  <si>
    <t>high density line</t>
  </si>
  <si>
    <t>low density line</t>
  </si>
  <si>
    <t>sum=</t>
  </si>
  <si>
    <t xml:space="preserve">Sp. Gravity </t>
  </si>
  <si>
    <t>volume(ft^3)</t>
  </si>
  <si>
    <t>Agg.(ft^3)</t>
  </si>
  <si>
    <t>paste(ft^3)</t>
  </si>
  <si>
    <t>fly ash</t>
  </si>
  <si>
    <t>water</t>
  </si>
  <si>
    <t>fly ash(b)</t>
  </si>
  <si>
    <t>Water(b)</t>
  </si>
  <si>
    <t>cement(b)</t>
  </si>
  <si>
    <t>air content%</t>
  </si>
  <si>
    <t>air (ft^3)</t>
  </si>
  <si>
    <t>Agg. Volume=</t>
  </si>
  <si>
    <t xml:space="preserve">Paste </t>
  </si>
  <si>
    <t>Volume(ft^3/cy)</t>
  </si>
  <si>
    <t>air</t>
  </si>
  <si>
    <t>Total</t>
  </si>
  <si>
    <t xml:space="preserve">Trial </t>
  </si>
  <si>
    <t>Aggregate</t>
  </si>
  <si>
    <t>Aggregate Proportions</t>
  </si>
  <si>
    <t>Unit Weight</t>
  </si>
  <si>
    <t>No.</t>
  </si>
  <si>
    <t xml:space="preserve"> type &amp; Size </t>
  </si>
  <si>
    <t>SAND</t>
  </si>
  <si>
    <t xml:space="preserve"> (b/ft^3)</t>
  </si>
  <si>
    <t>SS</t>
  </si>
  <si>
    <t>Grade 3 &amp; 3/8"</t>
  </si>
  <si>
    <t>Grade 3, 3/8"/sand</t>
  </si>
  <si>
    <t>Grade 3/sand</t>
  </si>
  <si>
    <t>pass #8</t>
  </si>
  <si>
    <t>R#8</t>
  </si>
  <si>
    <t>R3/8</t>
  </si>
  <si>
    <t>The Toufar and modified Toufar model</t>
  </si>
  <si>
    <t>Toufar et al. (1976) described a model to calculate the packing of binary mixtures for</t>
  </si>
  <si>
    <t>diameter ratios 0.22 &lt; d1/d2 &lt; 1.0. The concept of the model is that for diameter ratios &gt;</t>
  </si>
  <si>
    <t>0.22 the smaller particles with diameter d1 will actually be too large to be situated within</t>
  </si>
  <si>
    <t>the interstices between the larger particles with diameter d2. Therefore, the packing</t>
  </si>
  <si>
    <t>density should depend on the diameter ratio of the two particle classes, as expressed by</t>
  </si>
  <si>
    <t>number of interstices between the coarser particles that are free from smaller particles. It</t>
  </si>
  <si>
    <t>was assumed that each of the fine particles is placed between exactly four of the coarse</t>
  </si>
  <si>
    <t>3.8‐3.11 (Goltermann, et al., 1997).</t>
  </si>
  <si>
    <r>
      <t xml:space="preserve">particles, which led to the factor </t>
    </r>
    <r>
      <rPr>
        <i/>
        <sz val="11"/>
        <color rgb="FFFF0000"/>
        <rFont val="Calibri"/>
        <family val="2"/>
        <scheme val="minor"/>
      </rPr>
      <t>ks</t>
    </r>
    <r>
      <rPr>
        <sz val="11"/>
        <color theme="1"/>
        <rFont val="Calibri"/>
        <family val="2"/>
        <scheme val="minor"/>
      </rPr>
      <t xml:space="preserve"> . The total packing density is described by Equations</t>
    </r>
  </si>
  <si>
    <t>ks=1-((1+4x)/(1+x^4))</t>
  </si>
  <si>
    <t>x=r1 α2/(r2 α1 (1- α2))</t>
  </si>
  <si>
    <r>
      <t>αt=1/((r1/α1+r2/α2-r2(1/α2-1)</t>
    </r>
    <r>
      <rPr>
        <b/>
        <i/>
        <sz val="11"/>
        <color theme="1"/>
        <rFont val="Calibri"/>
        <family val="2"/>
        <scheme val="minor"/>
      </rPr>
      <t>kd ks)</t>
    </r>
  </si>
  <si>
    <r>
      <t xml:space="preserve">modefied  </t>
    </r>
    <r>
      <rPr>
        <b/>
        <i/>
        <sz val="11"/>
        <color theme="1"/>
        <rFont val="Calibri"/>
        <family val="2"/>
        <scheme val="minor"/>
      </rPr>
      <t>ks=0.3881 x/0.4753</t>
    </r>
  </si>
  <si>
    <r>
      <t xml:space="preserve">for x </t>
    </r>
    <r>
      <rPr>
        <b/>
        <sz val="11"/>
        <color theme="1"/>
        <rFont val="Calibri"/>
        <family val="2"/>
      </rPr>
      <t>˂</t>
    </r>
    <r>
      <rPr>
        <b/>
        <sz val="11"/>
        <color theme="1"/>
        <rFont val="Calibri"/>
        <family val="2"/>
        <scheme val="minor"/>
      </rPr>
      <t xml:space="preserve"> 0.4753</t>
    </r>
  </si>
  <si>
    <r>
      <t xml:space="preserve">for x </t>
    </r>
    <r>
      <rPr>
        <b/>
        <sz val="11"/>
        <color theme="1"/>
        <rFont val="Calibri"/>
        <family val="2"/>
      </rPr>
      <t>≥</t>
    </r>
    <r>
      <rPr>
        <b/>
        <sz val="11"/>
        <color theme="1"/>
        <rFont val="Calibri"/>
        <family val="2"/>
        <scheme val="minor"/>
      </rPr>
      <t xml:space="preserve"> 0.4753</t>
    </r>
  </si>
  <si>
    <r>
      <t>r</t>
    </r>
    <r>
      <rPr>
        <b/>
        <i/>
        <sz val="8"/>
        <color theme="1"/>
        <rFont val="Berlin Sans FB Demi"/>
        <family val="2"/>
      </rPr>
      <t>ij</t>
    </r>
    <r>
      <rPr>
        <b/>
        <i/>
        <sz val="11"/>
        <color theme="1"/>
        <rFont val="Berlin Sans FB Demi"/>
        <family val="2"/>
      </rPr>
      <t xml:space="preserve"> = r</t>
    </r>
    <r>
      <rPr>
        <b/>
        <i/>
        <sz val="8"/>
        <color theme="1"/>
        <rFont val="Berlin Sans FB Demi"/>
        <family val="2"/>
      </rPr>
      <t>i</t>
    </r>
    <r>
      <rPr>
        <b/>
        <i/>
        <sz val="12"/>
        <color theme="1"/>
        <rFont val="Berlin Sans FB Demi"/>
        <family val="2"/>
      </rPr>
      <t>-</t>
    </r>
    <r>
      <rPr>
        <b/>
        <i/>
        <sz val="8"/>
        <color theme="1"/>
        <rFont val="Berlin Sans FB Demi"/>
        <family val="2"/>
      </rPr>
      <t xml:space="preserve"> j</t>
    </r>
    <r>
      <rPr>
        <b/>
        <i/>
        <sz val="11"/>
        <color theme="1"/>
        <rFont val="Berlin Sans FB Demi"/>
        <family val="2"/>
      </rPr>
      <t xml:space="preserve"> + r</t>
    </r>
    <r>
      <rPr>
        <b/>
        <i/>
        <sz val="8"/>
        <color theme="1"/>
        <rFont val="Berlin Sans FB Demi"/>
        <family val="2"/>
      </rPr>
      <t>j</t>
    </r>
    <r>
      <rPr>
        <b/>
        <i/>
        <sz val="11"/>
        <color theme="1"/>
        <rFont val="Berlin Sans FB Demi"/>
        <family val="2"/>
      </rPr>
      <t>-</t>
    </r>
    <r>
      <rPr>
        <b/>
        <i/>
        <sz val="8"/>
        <color theme="1"/>
        <rFont val="Berlin Sans FB Demi"/>
        <family val="2"/>
      </rPr>
      <t>i</t>
    </r>
  </si>
  <si>
    <r>
      <t>r</t>
    </r>
    <r>
      <rPr>
        <b/>
        <i/>
        <sz val="8"/>
        <color theme="1"/>
        <rFont val="Berlin Sans FB Demi"/>
        <family val="2"/>
      </rPr>
      <t>i</t>
    </r>
    <r>
      <rPr>
        <b/>
        <i/>
        <sz val="11"/>
        <color theme="1"/>
        <rFont val="Berlin Sans FB Demi"/>
        <family val="2"/>
      </rPr>
      <t>-</t>
    </r>
    <r>
      <rPr>
        <b/>
        <i/>
        <sz val="8"/>
        <color theme="1"/>
        <rFont val="Berlin Sans FB Demi"/>
        <family val="2"/>
      </rPr>
      <t>j</t>
    </r>
    <r>
      <rPr>
        <b/>
        <i/>
        <sz val="11"/>
        <color theme="1"/>
        <rFont val="Berlin Sans FB Demi"/>
        <family val="2"/>
      </rPr>
      <t>=r</t>
    </r>
    <r>
      <rPr>
        <b/>
        <i/>
        <sz val="8"/>
        <color theme="1"/>
        <rFont val="Berlin Sans FB Demi"/>
        <family val="2"/>
      </rPr>
      <t>i</t>
    </r>
    <r>
      <rPr>
        <b/>
        <i/>
        <sz val="11"/>
        <color theme="1"/>
        <rFont val="Berlin Sans FB Demi"/>
        <family val="2"/>
      </rPr>
      <t>r</t>
    </r>
    <r>
      <rPr>
        <b/>
        <i/>
        <sz val="8"/>
        <color theme="1"/>
        <rFont val="Berlin Sans FB Demi"/>
        <family val="2"/>
      </rPr>
      <t>j/(1</t>
    </r>
    <r>
      <rPr>
        <b/>
        <i/>
        <sz val="11"/>
        <color theme="1"/>
        <rFont val="Berlin Sans FB Demi"/>
        <family val="2"/>
      </rPr>
      <t>-</t>
    </r>
    <r>
      <rPr>
        <b/>
        <i/>
        <sz val="12"/>
        <color theme="1"/>
        <rFont val="Berlin Sans FB Demi"/>
        <family val="2"/>
      </rPr>
      <t>r</t>
    </r>
    <r>
      <rPr>
        <b/>
        <i/>
        <sz val="8"/>
        <color theme="1"/>
        <rFont val="Berlin Sans FB Demi"/>
        <family val="2"/>
      </rPr>
      <t>i)</t>
    </r>
  </si>
  <si>
    <t>α  (VP/V)</t>
  </si>
  <si>
    <t>αi      packing density of dominant size class i [‐]</t>
  </si>
  <si>
    <t>αj      packing density of size class j [‐]</t>
  </si>
  <si>
    <t>αij     assisting variable for packing density in the Toufar model [‐]</t>
  </si>
  <si>
    <t>αt      calculated packing density of a mixture [‐]t calculated packing density of a mixture [‐]</t>
  </si>
  <si>
    <t>ϕi      partial volume: the volume occupied by size class i in a unit volume [‐]</t>
  </si>
  <si>
    <t>ϕj      partial volume: the volume occupied by size class j in a unit volume [‐]</t>
  </si>
  <si>
    <t>d        particle diameter [m]</t>
  </si>
  <si>
    <t>model, LPDM, CPM, Linear‐Mixture Packing Model and CIPM, for the</t>
  </si>
  <si>
    <t>smallest diameter in the Toufar model and the Dewar model) [m]</t>
  </si>
  <si>
    <t>di      diameter of dominant size class i [m]</t>
  </si>
  <si>
    <t>dj diameter of particle classj ( j=1  for the largest diameter in the Furnas</t>
  </si>
  <si>
    <t>kd      diameter ratio of two size classes in the Toufar model [‐]</t>
  </si>
  <si>
    <t>ks       factor in the Toufar model, section 3.3 [‐]</t>
  </si>
  <si>
    <t>n         number of size classes in a mixture</t>
  </si>
  <si>
    <t>ri         volume fraction of size class i , by definition</t>
  </si>
  <si>
    <r>
      <t>ri=</t>
    </r>
    <r>
      <rPr>
        <sz val="11"/>
        <color theme="1"/>
        <rFont val="Calibri"/>
        <family val="2"/>
      </rPr>
      <t>ϕi/</t>
    </r>
  </si>
  <si>
    <t>and</t>
  </si>
  <si>
    <t>ri- j      assisting variable Toufar model [‐]</t>
  </si>
  <si>
    <t>rij        assisting variable Toufar model [‐]</t>
  </si>
  <si>
    <t>rj          volume fraction of size class j [‐]</t>
  </si>
  <si>
    <t>rj-i        assisting variable Toufar model [‐]</t>
  </si>
  <si>
    <t>x           assisting variable in the Toufar model [‐]</t>
  </si>
  <si>
    <t>ri</t>
  </si>
  <si>
    <t>p% by vol</t>
  </si>
  <si>
    <t>sieve #</t>
  </si>
  <si>
    <t>d(mm)</t>
  </si>
  <si>
    <t>agg</t>
  </si>
  <si>
    <t>rj</t>
  </si>
  <si>
    <t>ri-j</t>
  </si>
  <si>
    <t>rj-i</t>
  </si>
  <si>
    <t>rij</t>
  </si>
  <si>
    <t>kij</t>
  </si>
  <si>
    <t>ks ij</t>
  </si>
  <si>
    <r>
      <t>the factor</t>
    </r>
    <r>
      <rPr>
        <i/>
        <sz val="11"/>
        <color theme="1"/>
        <rFont val="Calibri"/>
        <family val="2"/>
        <scheme val="minor"/>
      </rPr>
      <t xml:space="preserve"> </t>
    </r>
    <r>
      <rPr>
        <i/>
        <sz val="11"/>
        <color rgb="FFFF0000"/>
        <rFont val="Calibri"/>
        <family val="2"/>
        <scheme val="minor"/>
      </rPr>
      <t>k</t>
    </r>
    <r>
      <rPr>
        <i/>
        <sz val="11"/>
        <color rgb="FFFF0000"/>
        <rFont val="Calibri"/>
        <family val="2"/>
      </rPr>
      <t>d</t>
    </r>
    <r>
      <rPr>
        <sz val="11"/>
        <color theme="1"/>
        <rFont val="Calibri"/>
        <family val="2"/>
        <scheme val="minor"/>
      </rPr>
      <t xml:space="preserve"> . Furthermore, Toufar et al. considered the statistical probability of the</t>
    </r>
  </si>
  <si>
    <t>kd</t>
  </si>
  <si>
    <t>ks</t>
  </si>
  <si>
    <t>r1/r2</t>
  </si>
  <si>
    <t>1+4x</t>
  </si>
  <si>
    <t>(1+x)^4</t>
  </si>
  <si>
    <t>r1/α1</t>
  </si>
  <si>
    <t>r2/α2</t>
  </si>
  <si>
    <t>()</t>
  </si>
  <si>
    <t>αt</t>
  </si>
  <si>
    <t>kd=(d2-d1)/(d1+d2)</t>
  </si>
  <si>
    <t>new d(mm)</t>
  </si>
  <si>
    <t>Original Proportions (by wt)</t>
  </si>
  <si>
    <t>n</t>
  </si>
  <si>
    <t>i</t>
  </si>
  <si>
    <t>i=1</t>
  </si>
  <si>
    <t>αt    Min=</t>
  </si>
  <si>
    <t>αi/(1-(1-αi)</t>
  </si>
  <si>
    <t>∑</t>
  </si>
  <si>
    <t>)</t>
  </si>
  <si>
    <t>a</t>
  </si>
  <si>
    <t>r</t>
  </si>
  <si>
    <t>#57</t>
  </si>
  <si>
    <t>j</t>
  </si>
  <si>
    <t>wt</t>
  </si>
  <si>
    <t>volume</t>
  </si>
  <si>
    <t>vpoid ratio</t>
  </si>
  <si>
    <t>void ratio</t>
  </si>
  <si>
    <t>Agg</t>
  </si>
  <si>
    <t>g</t>
  </si>
  <si>
    <t>f</t>
  </si>
  <si>
    <t xml:space="preserve">f(z) = 0.7(1- z) + 0.3(1- z)^12 </t>
  </si>
  <si>
    <t>• g(z) = (1 - z) ^1.3</t>
  </si>
  <si>
    <t>z for f(z)</t>
  </si>
  <si>
    <t>z for g(z)</t>
  </si>
  <si>
    <t>(value with wall and loseness effect)</t>
  </si>
  <si>
    <r>
      <t xml:space="preserve">(value </t>
    </r>
    <r>
      <rPr>
        <u/>
        <sz val="11"/>
        <color theme="1"/>
        <rFont val="Calibri"/>
        <family val="2"/>
        <scheme val="minor"/>
      </rPr>
      <t>without</t>
    </r>
    <r>
      <rPr>
        <sz val="11"/>
        <color theme="1"/>
        <rFont val="Calibri"/>
        <family val="2"/>
        <scheme val="minor"/>
      </rPr>
      <t xml:space="preserve"> wall and loseness effect)</t>
    </r>
  </si>
  <si>
    <t>Packing Dinsity according to De Larrard=</t>
  </si>
  <si>
    <t>equation of wall &amp; loseness effects</t>
  </si>
  <si>
    <t>loseness equation</t>
  </si>
  <si>
    <t>wall effect equation</t>
  </si>
  <si>
    <r>
      <t xml:space="preserve"> </t>
    </r>
    <r>
      <rPr>
        <b/>
        <sz val="16"/>
        <color rgb="FFFF0000"/>
        <rFont val="Calibri"/>
        <family val="2"/>
        <scheme val="minor"/>
      </rPr>
      <t xml:space="preserve">LPDM  </t>
    </r>
    <r>
      <rPr>
        <b/>
        <sz val="16"/>
        <rFont val="Calibri"/>
        <family val="2"/>
        <scheme val="minor"/>
      </rPr>
      <t xml:space="preserve"> Linear Packing Density Model  </t>
    </r>
    <r>
      <rPr>
        <b/>
        <i/>
        <u/>
        <sz val="16"/>
        <rFont val="Calibri"/>
        <family val="2"/>
        <scheme val="minor"/>
      </rPr>
      <t>De Larrard</t>
    </r>
  </si>
  <si>
    <t>(3 Aggregate Blends)</t>
  </si>
  <si>
    <t>(2 Aggregate Blends)</t>
  </si>
  <si>
    <t>Refrences:</t>
  </si>
  <si>
    <t>2-Sonja A.A.M. Fennis, Joost C. Walraven, Joop A. den Uijl.Delft University of Technology, the Netherlands.(The use of particle packing models to</t>
  </si>
  <si>
    <t>design ecological concrete)</t>
  </si>
  <si>
    <t>1-F. de Larrard and T. Sedran. September 23, 1993.( OPTIMIZATION OF ULTRA-HIGH-PERFORNCE CONCRETE BY THE USE OF A PACKING MODEL)</t>
  </si>
  <si>
    <t>3-Sebastiana Antonia Adriana Maria FENNIS‐HUIJBEN.17 januari 2011. (Design of Ecological Concrete by Particle Packing Optimization)</t>
  </si>
  <si>
    <t>Richard spur 3/8</t>
  </si>
  <si>
    <t>Specific Gravity</t>
  </si>
  <si>
    <t>Cement</t>
  </si>
  <si>
    <t>Water</t>
  </si>
  <si>
    <t>Air</t>
  </si>
  <si>
    <t>Aggregate Gradation</t>
  </si>
  <si>
    <t>Combined   % Passing</t>
  </si>
  <si>
    <t>Material</t>
  </si>
  <si>
    <t>Batch Weights &amp; Material Properties</t>
  </si>
  <si>
    <t>Maximum Boundary</t>
  </si>
  <si>
    <t>Minimum Boundary</t>
  </si>
  <si>
    <t>Source of Material</t>
  </si>
  <si>
    <t>Weight (lbs/cy)</t>
  </si>
  <si>
    <t>Coarse I</t>
  </si>
  <si>
    <t>Coarse III</t>
  </si>
  <si>
    <t>Coarse II</t>
  </si>
  <si>
    <t>Volume (ft³)</t>
  </si>
  <si>
    <t xml:space="preserve">Combined   % Retained </t>
  </si>
  <si>
    <t>lbs/cy</t>
  </si>
  <si>
    <t>lbs/cf</t>
  </si>
  <si>
    <t>Admixtures</t>
  </si>
  <si>
    <t>Name</t>
  </si>
  <si>
    <t>Water reducer</t>
  </si>
  <si>
    <t>Air entrainer</t>
  </si>
  <si>
    <t>accelerator</t>
  </si>
  <si>
    <t>set control</t>
  </si>
  <si>
    <t>w/cm</t>
  </si>
  <si>
    <t>total cementitious</t>
  </si>
  <si>
    <t>sack content</t>
  </si>
  <si>
    <t>lbs</t>
  </si>
  <si>
    <t>sacks</t>
  </si>
  <si>
    <t xml:space="preserve">SCM replacement </t>
  </si>
  <si>
    <t>Dosage (oz/cwt)</t>
  </si>
  <si>
    <t>Admixture Type</t>
  </si>
  <si>
    <t>cf</t>
  </si>
  <si>
    <t xml:space="preserve">Paste Properties </t>
  </si>
  <si>
    <t>Fine Sand % (#30-200)  =</t>
  </si>
  <si>
    <t xml:space="preserve">Other Cementitious </t>
  </si>
  <si>
    <t>This range amount is a minimum of 15%</t>
  </si>
  <si>
    <t>Coarse Sand % (#8-30)  =</t>
  </si>
  <si>
    <t>Fine I</t>
  </si>
  <si>
    <t>Fine II</t>
  </si>
  <si>
    <r>
      <t xml:space="preserve">This allowable range for </t>
    </r>
    <r>
      <rPr>
        <b/>
        <sz val="12"/>
        <color theme="1"/>
        <rFont val="Calibri"/>
        <family val="2"/>
        <scheme val="minor"/>
      </rPr>
      <t>slipforming</t>
    </r>
    <r>
      <rPr>
        <sz val="12"/>
        <color theme="1"/>
        <rFont val="Calibri"/>
        <family val="2"/>
        <scheme val="minor"/>
      </rPr>
      <t xml:space="preserve"> is between 24-34%</t>
    </r>
  </si>
  <si>
    <t>Should be greater than 20%</t>
  </si>
  <si>
    <r>
      <t xml:space="preserve">This allowable range for </t>
    </r>
    <r>
      <rPr>
        <b/>
        <sz val="12"/>
        <color theme="1"/>
        <rFont val="Calibri"/>
        <family val="2"/>
        <scheme val="minor"/>
      </rPr>
      <t>pumping</t>
    </r>
    <r>
      <rPr>
        <sz val="12"/>
        <color theme="1"/>
        <rFont val="Calibri"/>
        <family val="2"/>
        <scheme val="minor"/>
      </rPr>
      <t xml:space="preserve"> is between 25-40%</t>
    </r>
  </si>
  <si>
    <t>Paste Content w/o air</t>
  </si>
  <si>
    <t xml:space="preserve">Aggregate volume percentages </t>
  </si>
  <si>
    <t>This sheet is for transfering a percent retained sieve analysis into a percent passing</t>
  </si>
  <si>
    <t>Sieve Analysis for Mixture Design</t>
  </si>
  <si>
    <t>Percent Passing (input for design)</t>
  </si>
  <si>
    <t>Percent Retained (for information purposes only)</t>
  </si>
  <si>
    <t xml:space="preserve">Percent Retained </t>
  </si>
  <si>
    <t>Percent Passing (copy to to the next sheet)</t>
  </si>
  <si>
    <t>Project Name</t>
  </si>
  <si>
    <t>Control Number</t>
  </si>
  <si>
    <t>Project No.</t>
  </si>
  <si>
    <t>Date</t>
  </si>
  <si>
    <t>Requested by</t>
  </si>
  <si>
    <t>Phone</t>
  </si>
  <si>
    <t>Email</t>
  </si>
  <si>
    <t>Contractor Name</t>
  </si>
  <si>
    <t>Material Source Information- Cementitious (CM) and Admixture Sources</t>
  </si>
  <si>
    <t>Cement Manufacturer</t>
  </si>
  <si>
    <t>Type of Interground/Blended Cement</t>
  </si>
  <si>
    <t>Type of Admixture (AEA) Name</t>
  </si>
  <si>
    <t>Type of Admixture (WR) Name</t>
  </si>
  <si>
    <t>Material Source Information- Aggregate Description</t>
  </si>
  <si>
    <t>Pit Legal Location</t>
  </si>
  <si>
    <t>Pit Location-Nearest City</t>
  </si>
  <si>
    <t>Sand and Gravel</t>
  </si>
  <si>
    <t>Absorption</t>
  </si>
  <si>
    <t>Sand Equivalent Dry Pit</t>
  </si>
  <si>
    <t>Quarry Location</t>
  </si>
  <si>
    <t>Ledge Rock</t>
  </si>
  <si>
    <t>Materials &amp; Research Division</t>
  </si>
  <si>
    <t xml:space="preserve"> Concrete Mix Design Submittal Worksheet</t>
  </si>
  <si>
    <t>Procedures</t>
  </si>
  <si>
    <t>Worksheet Tabs Description</t>
  </si>
  <si>
    <t>Mix Description</t>
  </si>
  <si>
    <t>This color tab is for the Contractor input material source information of cementitious materials (CM), admixture sources and aggregate description.</t>
  </si>
  <si>
    <t>Contractor Mix Design</t>
  </si>
  <si>
    <t>This color tab is for the mix design for the input of weights for all ingredients including interground/blended cements, aggregates, water, admixtures type and water cement ratio. The proportion of the materials will automatically appear for the target mix design for 1 cubic yard.</t>
  </si>
  <si>
    <t xml:space="preserve"> Mix Design Test Results</t>
  </si>
  <si>
    <t>This color tab is for the data input for the concrete fresh properties and mechanical properties.</t>
  </si>
  <si>
    <t>Contractor Target Aggregate Gradation (TAG)</t>
  </si>
  <si>
    <t xml:space="preserve">This color represents the input for project information and sieve analysis according to material source/type. </t>
  </si>
  <si>
    <t>This color will allow the user to determine an optimum combined aggregate blend by checking each individual sieve size analysis, which meet the gradation band limits.</t>
  </si>
  <si>
    <t>This color will allow the user to recognize  each individual sieve size by combined percent passing not meeting the gradation band limits.</t>
  </si>
  <si>
    <t>Specification Class R Chart (Gradation Band)</t>
  </si>
  <si>
    <t xml:space="preserve">The chart is based on the 0.45 power grading chart concept. It was created by plotting the cumulative percent passing (y-axis) vs. the sieve sizes raised to 0.45 power (x-axis). The chart displays the Maximum and Minimum limits for Class R Gradation Band by plotting the cumulative percent passing vs. the sieve sizes. The cumulative percent passing must be within the gradation band and should not deviate beyond the maximum and minimum tolerance limits shown in green. </t>
  </si>
  <si>
    <t>This is the first sheet to fill out using the specifications.</t>
  </si>
  <si>
    <t>Only the fields that are shaded need to be filled out.</t>
  </si>
  <si>
    <t>PROJECT NO:</t>
  </si>
  <si>
    <t>CONTROL NO:</t>
  </si>
  <si>
    <t>CLASS OF CONCRETE:</t>
  </si>
  <si>
    <t>TARGET AMOUNTS</t>
  </si>
  <si>
    <t>SPECIFIC GRAVITY</t>
  </si>
  <si>
    <t>Weight of Cement per yd3:</t>
  </si>
  <si>
    <t>A</t>
  </si>
  <si>
    <t>J</t>
  </si>
  <si>
    <t>Weight of Fly Ash per yd3:</t>
  </si>
  <si>
    <t>B</t>
  </si>
  <si>
    <t>K</t>
  </si>
  <si>
    <t>Weight of Silica Fume per yd3:</t>
  </si>
  <si>
    <t>C</t>
  </si>
  <si>
    <t>L</t>
  </si>
  <si>
    <t>Weight of other SCM per yd3:</t>
  </si>
  <si>
    <t>D</t>
  </si>
  <si>
    <t>M</t>
  </si>
  <si>
    <t>Target Water/Cement Ratio:</t>
  </si>
  <si>
    <t>E</t>
  </si>
  <si>
    <t>Target % Air Content:</t>
  </si>
  <si>
    <t>F</t>
  </si>
  <si>
    <t>Target % Fine Aggregate:</t>
  </si>
  <si>
    <t>G</t>
  </si>
  <si>
    <t>N</t>
  </si>
  <si>
    <t>Target % Coarse Aggregate:</t>
  </si>
  <si>
    <t>H</t>
  </si>
  <si>
    <t>O</t>
  </si>
  <si>
    <t>Target % Other Aggregate:</t>
  </si>
  <si>
    <t>I</t>
  </si>
  <si>
    <t>P</t>
  </si>
  <si>
    <t>Wt. of Water: (A+B+C+D)*E =</t>
  </si>
  <si>
    <t>Q</t>
  </si>
  <si>
    <t>Volume of Cement (ft3): A/(J*62.4) =</t>
  </si>
  <si>
    <t>R</t>
  </si>
  <si>
    <t>Volume of Fly Ash (ft3): B/(K*62.4) =</t>
  </si>
  <si>
    <t>S</t>
  </si>
  <si>
    <t>Volume of Silica Fume (ft3): C/(L*62.4) =</t>
  </si>
  <si>
    <t>T</t>
  </si>
  <si>
    <t>Volume of other SCM (ft3): D/(M*62.4) =</t>
  </si>
  <si>
    <t>U</t>
  </si>
  <si>
    <t>Volume of Air (ft3): (F/100)*27 =</t>
  </si>
  <si>
    <t>V</t>
  </si>
  <si>
    <t>Volume of Water (ft3): Q/62.4 =</t>
  </si>
  <si>
    <t>W</t>
  </si>
  <si>
    <t>Volume of Total Aggregate (ft3):</t>
  </si>
  <si>
    <t xml:space="preserve">      27 - R - S - T - U - V - W =</t>
  </si>
  <si>
    <t>X</t>
  </si>
  <si>
    <t>Weight of Fine Aggregate:</t>
  </si>
  <si>
    <t xml:space="preserve">      (62.4*(G/100)*N*X) =</t>
  </si>
  <si>
    <t>Y</t>
  </si>
  <si>
    <t>Weight of Coarse Aggregate:</t>
  </si>
  <si>
    <t xml:space="preserve">      (62.4*(H/100)*O*X) =</t>
  </si>
  <si>
    <t>Z</t>
  </si>
  <si>
    <t>Weight of Other Aggregate:</t>
  </si>
  <si>
    <t xml:space="preserve">      (62.4*(I/100)*P*X) =</t>
  </si>
  <si>
    <t>AA</t>
  </si>
  <si>
    <t>CONTRACTOR TARGET MIX DESIGN WEIGHTS FOR 1 CUBIC YARD</t>
  </si>
  <si>
    <t>CEMENT:</t>
  </si>
  <si>
    <t>lb</t>
  </si>
  <si>
    <t>FLY ASH:</t>
  </si>
  <si>
    <t>SILICA FUME:</t>
  </si>
  <si>
    <t>OTHER SCM:</t>
  </si>
  <si>
    <t>FINE AGGREGATE:</t>
  </si>
  <si>
    <t>COARSE AGGREGATE:</t>
  </si>
  <si>
    <t>OTHER AGGREGATE:</t>
  </si>
  <si>
    <t>WATER:</t>
  </si>
  <si>
    <t xml:space="preserve">Date </t>
  </si>
  <si>
    <t>Nebraska Qualified Laboratory</t>
  </si>
  <si>
    <t>Certified Tester</t>
  </si>
  <si>
    <t xml:space="preserve">Mix Design Description-Testing Results </t>
  </si>
  <si>
    <t>Temperature of concrete at time of sampling, ASTM C 1064.</t>
  </si>
  <si>
    <t>The air content  of plastic concrete, ASTM C 231</t>
  </si>
  <si>
    <t>Weight per cubic foot, Yield,                  ASTM C 138</t>
  </si>
  <si>
    <t>Compressive strength  3 specimens averaged, ASTM C 39</t>
  </si>
  <si>
    <t>7 days</t>
  </si>
  <si>
    <t>28 days</t>
  </si>
  <si>
    <t>NOTE: The Engineer has the option to request the laboratory test results at any time.</t>
  </si>
  <si>
    <t>Project Name/ Control Number:</t>
  </si>
  <si>
    <t>Date:</t>
  </si>
  <si>
    <t>Ready Mix Plant/Contractor</t>
  </si>
  <si>
    <t>Target Aggregate Gradation (%)</t>
  </si>
  <si>
    <t>Sieve Size</t>
  </si>
  <si>
    <t>Aggregate Type                                          (Sand &amp; Gravel or Ledge Rock)</t>
  </si>
  <si>
    <t>1 1/2"</t>
  </si>
  <si>
    <t>No.4</t>
  </si>
  <si>
    <t>No.10</t>
  </si>
  <si>
    <t>No.30</t>
  </si>
  <si>
    <t>No.50</t>
  </si>
  <si>
    <t>No.200</t>
  </si>
  <si>
    <t xml:space="preserve">      Material </t>
  </si>
  <si>
    <t>Component Contribution</t>
  </si>
  <si>
    <t>Combined % - Passing</t>
  </si>
  <si>
    <r>
      <t xml:space="preserve">Combined Cumulative % </t>
    </r>
    <r>
      <rPr>
        <sz val="12"/>
        <color indexed="10"/>
        <rFont val="Arial"/>
        <family val="2"/>
      </rPr>
      <t xml:space="preserve">- </t>
    </r>
    <r>
      <rPr>
        <sz val="12"/>
        <rFont val="Arial"/>
        <family val="2"/>
      </rPr>
      <t>Retained</t>
    </r>
  </si>
  <si>
    <t>1''</t>
  </si>
  <si>
    <t>#10</t>
  </si>
  <si>
    <t>Maximum Limits for Class R Aggregate  Percent Passing</t>
  </si>
  <si>
    <t>Combined Aggregate Gradation</t>
  </si>
  <si>
    <t>Minimum Limits for Class R Aggregate Percent Passing</t>
  </si>
  <si>
    <t>Sieves Raised to .45 Power (for graphing set up only)</t>
  </si>
  <si>
    <t xml:space="preserve">            </t>
  </si>
  <si>
    <t xml:space="preserve"> (for graphing set up only)</t>
  </si>
  <si>
    <t>No. 200</t>
  </si>
  <si>
    <t>No. 50</t>
  </si>
  <si>
    <t>No. 30</t>
  </si>
  <si>
    <t>No. 10</t>
  </si>
  <si>
    <t>No. 4</t>
  </si>
  <si>
    <t xml:space="preserve">1" </t>
  </si>
  <si>
    <t>Maximum Limits for Class R Aggregate Percent Passing</t>
  </si>
  <si>
    <t>Ready Mix Supplier</t>
  </si>
  <si>
    <t xml:space="preserve">Tarantula Mixture Design </t>
  </si>
  <si>
    <t>Nebraska Department of Transportation</t>
  </si>
  <si>
    <t>Nebraska Department of Transportation                                                                                                                                                                                                                  Mix Design Description</t>
  </si>
  <si>
    <t>Nebraska Department of Transporation                                                                                                                                                                                                                       Contractor Mix Design Test Results</t>
  </si>
  <si>
    <t>Nebraska Department of transportation                                                                                                                                                                                                                      Target Aggregate Gradation (TAG)</t>
  </si>
  <si>
    <t xml:space="preserve">This Excel workbook allows the user to input the mix design, sieve analysis results and aggregate percentages. It creates the chart needed for the cumulative aggregate percent passing selection to meet NDOT gradation band limits. Email submissions are preferred but will be accepted by fax or postal mail to the Engineer. </t>
  </si>
  <si>
    <t>INPUT</t>
  </si>
  <si>
    <t>Additional Admixture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</si>
</sst>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0.0%"/>
    <numFmt numFmtId="165" formatCode="0.00000000000000%"/>
    <numFmt numFmtId="166" formatCode="0.000"/>
    <numFmt numFmtId="167" formatCode="0.0000"/>
    <numFmt numFmtId="168" formatCode="0.0"/>
  </numFmts>
  <fonts count="76">
    <font>
      <sz val="11"/>
      <color theme="1"/>
      <name val="Calibri"/>
      <family val="2"/>
      <scheme val="minor"/>
    </font>
    <font>
      <b/>
      <sz val="11"/>
      <color theme="1"/>
      <name val="Calibri"/>
      <family val="2"/>
      <scheme val="minor"/>
    </font>
    <font>
      <sz val="10"/>
      <name val="Verdana"/>
      <family val="2"/>
    </font>
    <font>
      <sz val="10"/>
      <name val="Verdena"/>
    </font>
    <font>
      <sz val="11"/>
      <color theme="1"/>
      <name val="Calibri"/>
      <family val="2"/>
    </font>
    <font>
      <sz val="11"/>
      <color theme="1"/>
      <name val="Calibri"/>
      <family val="2"/>
      <scheme val="minor"/>
    </font>
    <font>
      <u/>
      <sz val="11"/>
      <color theme="1"/>
      <name val="Calibri"/>
      <family val="2"/>
      <scheme val="minor"/>
    </font>
    <font>
      <sz val="11"/>
      <color rgb="FFFF0000"/>
      <name val="Calibri"/>
      <family val="2"/>
      <scheme val="minor"/>
    </font>
    <font>
      <b/>
      <sz val="11"/>
      <color theme="3"/>
      <name val="Calibri"/>
      <family val="2"/>
      <scheme val="minor"/>
    </font>
    <font>
      <b/>
      <i/>
      <sz val="11"/>
      <color theme="1"/>
      <name val="Calibri"/>
      <family val="2"/>
      <scheme val="minor"/>
    </font>
    <font>
      <sz val="11"/>
      <name val="Calibri"/>
      <family val="2"/>
      <scheme val="minor"/>
    </font>
    <font>
      <i/>
      <sz val="11"/>
      <color theme="1"/>
      <name val="Calibri"/>
      <family val="2"/>
      <scheme val="minor"/>
    </font>
    <font>
      <b/>
      <i/>
      <u/>
      <sz val="12"/>
      <color theme="1"/>
      <name val="Calibri"/>
      <family val="2"/>
      <scheme val="minor"/>
    </font>
    <font>
      <i/>
      <sz val="11"/>
      <color rgb="FFFF0000"/>
      <name val="Calibri"/>
      <family val="2"/>
      <scheme val="minor"/>
    </font>
    <font>
      <i/>
      <sz val="11"/>
      <color rgb="FFFF0000"/>
      <name val="Calibri"/>
      <family val="2"/>
    </font>
    <font>
      <sz val="11"/>
      <color theme="1"/>
      <name val="Californian FB"/>
      <family val="1"/>
    </font>
    <font>
      <b/>
      <sz val="11"/>
      <color theme="1"/>
      <name val="Times New Roman"/>
      <family val="1"/>
    </font>
    <font>
      <b/>
      <sz val="11"/>
      <color theme="1"/>
      <name val="Calibri"/>
      <family val="2"/>
    </font>
    <font>
      <b/>
      <i/>
      <sz val="11"/>
      <color theme="1"/>
      <name val="Calibri"/>
      <family val="2"/>
    </font>
    <font>
      <b/>
      <i/>
      <sz val="11"/>
      <color theme="1"/>
      <name val="Berlin Sans FB Demi"/>
      <family val="2"/>
    </font>
    <font>
      <b/>
      <i/>
      <sz val="8"/>
      <color theme="1"/>
      <name val="Berlin Sans FB Demi"/>
      <family val="2"/>
    </font>
    <font>
      <b/>
      <i/>
      <sz val="12"/>
      <color theme="1"/>
      <name val="Berlin Sans FB Demi"/>
      <family val="2"/>
    </font>
    <font>
      <b/>
      <sz val="11"/>
      <color theme="1"/>
      <name val="Berlin Sans FB Demi"/>
      <family val="2"/>
    </font>
    <font>
      <sz val="10"/>
      <color rgb="FFFF0000"/>
      <name val="Verdana"/>
      <family val="2"/>
    </font>
    <font>
      <b/>
      <i/>
      <u/>
      <sz val="16"/>
      <color theme="1"/>
      <name val="Calibri"/>
      <family val="2"/>
      <scheme val="minor"/>
    </font>
    <font>
      <sz val="11"/>
      <color theme="1"/>
      <name val="Cambria Math"/>
      <family val="1"/>
    </font>
    <font>
      <sz val="10"/>
      <name val="Calibri"/>
      <family val="2"/>
    </font>
    <font>
      <b/>
      <sz val="16"/>
      <color theme="1"/>
      <name val="Calibri"/>
      <family val="2"/>
      <scheme val="minor"/>
    </font>
    <font>
      <b/>
      <sz val="16"/>
      <color rgb="FFFF0000"/>
      <name val="Calibri"/>
      <family val="2"/>
      <scheme val="minor"/>
    </font>
    <font>
      <b/>
      <sz val="16"/>
      <name val="Calibri"/>
      <family val="2"/>
      <scheme val="minor"/>
    </font>
    <font>
      <b/>
      <i/>
      <u/>
      <sz val="16"/>
      <name val="Calibri"/>
      <family val="2"/>
      <scheme val="minor"/>
    </font>
    <font>
      <b/>
      <sz val="12"/>
      <color theme="1"/>
      <name val="Calibri"/>
      <family val="2"/>
      <scheme val="minor"/>
    </font>
    <font>
      <b/>
      <i/>
      <u/>
      <sz val="11"/>
      <color theme="1"/>
      <name val="Calibri"/>
      <family val="2"/>
      <scheme val="minor"/>
    </font>
    <font>
      <b/>
      <sz val="14"/>
      <name val="Arial"/>
      <family val="2"/>
    </font>
    <font>
      <sz val="14"/>
      <name val="Arial"/>
      <family val="2"/>
    </font>
    <font>
      <b/>
      <u/>
      <sz val="14"/>
      <color theme="1"/>
      <name val="Times New Roman"/>
      <family val="1"/>
    </font>
    <font>
      <sz val="14"/>
      <color theme="1"/>
      <name val="Times New Roman"/>
      <family val="1"/>
    </font>
    <font>
      <b/>
      <sz val="14"/>
      <color theme="1"/>
      <name val="Times New Roman"/>
      <family val="1"/>
    </font>
    <font>
      <sz val="14"/>
      <name val="Times New Roman"/>
      <family val="1"/>
    </font>
    <font>
      <sz val="14"/>
      <color rgb="FFFF0000"/>
      <name val="Times New Roman"/>
      <family val="1"/>
    </font>
    <font>
      <sz val="14"/>
      <color theme="1"/>
      <name val="Calibri"/>
      <family val="2"/>
      <scheme val="minor"/>
    </font>
    <font>
      <b/>
      <sz val="14"/>
      <name val="Times New Roman"/>
      <family val="1"/>
    </font>
    <font>
      <sz val="12"/>
      <color theme="1"/>
      <name val="Calibri"/>
      <family val="2"/>
      <scheme val="minor"/>
    </font>
    <font>
      <b/>
      <sz val="10"/>
      <name val="Arial"/>
      <family val="2"/>
    </font>
    <font>
      <b/>
      <i/>
      <sz val="8"/>
      <name val="Arial"/>
      <family val="2"/>
    </font>
    <font>
      <sz val="10"/>
      <name val="Arial"/>
      <family val="2"/>
    </font>
    <font>
      <b/>
      <sz val="14"/>
      <color theme="4"/>
      <name val="Arial"/>
      <family val="2"/>
    </font>
    <font>
      <sz val="12"/>
      <name val="Arial"/>
      <family val="2"/>
    </font>
    <font>
      <u/>
      <sz val="10"/>
      <color theme="10"/>
      <name val="Arial"/>
      <family val="2"/>
    </font>
    <font>
      <u/>
      <sz val="12"/>
      <color theme="10"/>
      <name val="Arial"/>
      <family val="2"/>
    </font>
    <font>
      <sz val="14"/>
      <color theme="1"/>
      <name val="Arial"/>
      <family val="2"/>
    </font>
    <font>
      <b/>
      <sz val="11"/>
      <color theme="3"/>
      <name val="Arial"/>
      <family val="2"/>
    </font>
    <font>
      <sz val="11"/>
      <color theme="4"/>
      <name val="Arial"/>
      <family val="2"/>
    </font>
    <font>
      <sz val="11"/>
      <name val="Arial"/>
      <family val="2"/>
    </font>
    <font>
      <sz val="10"/>
      <name val="Arial"/>
      <family val="2"/>
    </font>
    <font>
      <sz val="10"/>
      <color theme="4"/>
      <name val="Arial"/>
      <family val="2"/>
    </font>
    <font>
      <sz val="13"/>
      <color theme="1"/>
      <name val="Arial"/>
      <family val="2"/>
    </font>
    <font>
      <sz val="13"/>
      <name val="Arial"/>
      <family val="2"/>
    </font>
    <font>
      <b/>
      <sz val="14"/>
      <color theme="1"/>
      <name val="Arial"/>
      <family val="2"/>
    </font>
    <font>
      <sz val="10"/>
      <color theme="1"/>
      <name val="Arial"/>
      <family val="2"/>
    </font>
    <font>
      <sz val="12"/>
      <color theme="4"/>
      <name val="Arial"/>
      <family val="2"/>
    </font>
    <font>
      <b/>
      <sz val="16"/>
      <color theme="1"/>
      <name val="Arial"/>
      <family val="2"/>
    </font>
    <font>
      <sz val="16"/>
      <name val="Arial"/>
      <family val="2"/>
    </font>
    <font>
      <b/>
      <sz val="16"/>
      <name val="Arial"/>
      <family val="2"/>
    </font>
    <font>
      <sz val="12"/>
      <color rgb="FFFF0000"/>
      <name val="Arial"/>
      <family val="2"/>
    </font>
    <font>
      <sz val="16"/>
      <color theme="1"/>
      <name val="Arial"/>
      <family val="2"/>
    </font>
    <font>
      <sz val="12"/>
      <color indexed="10"/>
      <name val="Arial"/>
      <family val="2"/>
    </font>
    <font>
      <sz val="16"/>
      <color rgb="FFFF0000"/>
      <name val="Arial"/>
      <family val="2"/>
    </font>
    <font>
      <b/>
      <sz val="12"/>
      <name val="Arial"/>
      <family val="2"/>
    </font>
    <font>
      <b/>
      <sz val="12"/>
      <color theme="6" tint="-0.499984740745262"/>
      <name val="Arial"/>
      <family val="2"/>
    </font>
    <font>
      <sz val="14"/>
      <color theme="6" tint="-0.499984740745262"/>
      <name val="Arial"/>
      <family val="2"/>
    </font>
    <font>
      <sz val="14"/>
      <color indexed="9"/>
      <name val="Arial"/>
      <family val="2"/>
    </font>
    <font>
      <sz val="16"/>
      <color indexed="9"/>
      <name val="Arial"/>
      <family val="2"/>
    </font>
    <font>
      <sz val="8"/>
      <name val="Arial"/>
      <family val="2"/>
    </font>
    <font>
      <b/>
      <sz val="10"/>
      <color theme="1"/>
      <name val="Arial"/>
      <family val="2"/>
    </font>
    <font>
      <b/>
      <sz val="20"/>
      <color theme="1"/>
      <name val="Times New Roman"/>
      <family val="1"/>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92D050"/>
        <bgColor indexed="64"/>
      </patternFill>
    </fill>
    <fill>
      <patternFill patternType="solid">
        <fgColor theme="2"/>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indexed="40"/>
        <bgColor indexed="64"/>
      </patternFill>
    </fill>
    <fill>
      <patternFill patternType="solid">
        <fgColor indexed="47"/>
        <bgColor indexed="64"/>
      </patternFill>
    </fill>
    <fill>
      <patternFill patternType="solid">
        <fgColor theme="2" tint="-9.9978637043366805E-2"/>
        <bgColor indexed="64"/>
      </patternFill>
    </fill>
  </fills>
  <borders count="7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ck">
        <color rgb="FFFF0000"/>
      </left>
      <right style="thick">
        <color rgb="FFFF0000"/>
      </right>
      <top style="thick">
        <color rgb="FFFF0000"/>
      </top>
      <bottom style="thick">
        <color rgb="FFFF0000"/>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diagonal/>
    </border>
    <border>
      <left style="medium">
        <color theme="8" tint="-0.249977111117893"/>
      </left>
      <right/>
      <top style="medium">
        <color theme="8" tint="-0.249977111117893"/>
      </top>
      <bottom/>
      <diagonal/>
    </border>
    <border>
      <left/>
      <right/>
      <top style="medium">
        <color theme="8" tint="-0.249977111117893"/>
      </top>
      <bottom/>
      <diagonal/>
    </border>
    <border>
      <left/>
      <right style="medium">
        <color theme="8" tint="-0.249977111117893"/>
      </right>
      <top style="medium">
        <color theme="8" tint="-0.249977111117893"/>
      </top>
      <bottom/>
      <diagonal/>
    </border>
    <border>
      <left style="medium">
        <color theme="8" tint="-0.249977111117893"/>
      </left>
      <right/>
      <top/>
      <bottom/>
      <diagonal/>
    </border>
    <border>
      <left/>
      <right style="medium">
        <color theme="8" tint="-0.249977111117893"/>
      </right>
      <top/>
      <bottom/>
      <diagonal/>
    </border>
    <border>
      <left style="medium">
        <color theme="8" tint="-0.249977111117893"/>
      </left>
      <right/>
      <top/>
      <bottom style="medium">
        <color theme="8" tint="-0.249977111117893"/>
      </bottom>
      <diagonal/>
    </border>
    <border>
      <left/>
      <right/>
      <top/>
      <bottom style="medium">
        <color theme="8" tint="-0.249977111117893"/>
      </bottom>
      <diagonal/>
    </border>
    <border>
      <left/>
      <right style="medium">
        <color theme="8" tint="-0.249977111117893"/>
      </right>
      <top/>
      <bottom style="medium">
        <color theme="8" tint="-0.249977111117893"/>
      </bottom>
      <diagonal/>
    </border>
    <border>
      <left/>
      <right style="mediumDashDotDot">
        <color indexed="64"/>
      </right>
      <top style="medium">
        <color theme="8" tint="-0.249977111117893"/>
      </top>
      <bottom/>
      <diagonal/>
    </border>
    <border>
      <left/>
      <right style="mediumDashDotDot">
        <color indexed="64"/>
      </right>
      <top/>
      <bottom/>
      <diagonal/>
    </border>
    <border>
      <left/>
      <right style="mediumDashDotDot">
        <color indexed="64"/>
      </right>
      <top/>
      <bottom style="medium">
        <color theme="8" tint="-0.249977111117893"/>
      </bottom>
      <diagonal/>
    </border>
    <border>
      <left style="double">
        <color indexed="64"/>
      </left>
      <right style="medium">
        <color indexed="64"/>
      </right>
      <top style="double">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6">
    <xf numFmtId="0" fontId="0" fillId="0" borderId="0"/>
    <xf numFmtId="0" fontId="2" fillId="0" borderId="0"/>
    <xf numFmtId="9" fontId="2" fillId="0" borderId="0" applyFont="0" applyFill="0" applyBorder="0" applyAlignment="0" applyProtection="0"/>
    <xf numFmtId="9" fontId="5" fillId="0" borderId="0" applyFont="0" applyFill="0" applyBorder="0" applyAlignment="0" applyProtection="0"/>
    <xf numFmtId="0" fontId="45" fillId="0" borderId="0"/>
    <xf numFmtId="0" fontId="48" fillId="0" borderId="0" applyNumberFormat="0" applyFill="0" applyBorder="0" applyAlignment="0" applyProtection="0"/>
  </cellStyleXfs>
  <cellXfs count="810">
    <xf numFmtId="0" fontId="0" fillId="0" borderId="0" xfId="0"/>
    <xf numFmtId="0" fontId="2" fillId="0" borderId="0" xfId="1" applyFill="1" applyBorder="1"/>
    <xf numFmtId="0" fontId="2" fillId="0" borderId="0" xfId="1" applyFill="1" applyBorder="1" applyAlignment="1">
      <alignment horizontal="right"/>
    </xf>
    <xf numFmtId="0" fontId="3" fillId="0" borderId="0" xfId="1" applyFont="1" applyFill="1" applyBorder="1" applyAlignment="1">
      <alignment horizontal="center" wrapText="1"/>
    </xf>
    <xf numFmtId="0" fontId="2" fillId="0" borderId="0" xfId="1"/>
    <xf numFmtId="0" fontId="3" fillId="0" borderId="2" xfId="1" applyFont="1" applyBorder="1" applyAlignment="1">
      <alignment horizontal="center" wrapText="1"/>
    </xf>
    <xf numFmtId="0" fontId="3" fillId="0" borderId="2" xfId="1" applyFont="1" applyBorder="1" applyAlignment="1">
      <alignment horizontal="center"/>
    </xf>
    <xf numFmtId="0" fontId="3" fillId="0" borderId="2" xfId="1" applyFont="1" applyFill="1" applyBorder="1" applyAlignment="1">
      <alignment horizontal="center"/>
    </xf>
    <xf numFmtId="0" fontId="3" fillId="0" borderId="2" xfId="1" applyFont="1" applyFill="1" applyBorder="1" applyAlignment="1">
      <alignment horizontal="center" wrapText="1"/>
    </xf>
    <xf numFmtId="0" fontId="0" fillId="0" borderId="4" xfId="0" applyBorder="1"/>
    <xf numFmtId="0" fontId="0" fillId="0" borderId="2" xfId="0" applyBorder="1"/>
    <xf numFmtId="0" fontId="2" fillId="3" borderId="3" xfId="1" applyFont="1" applyFill="1" applyBorder="1" applyAlignment="1">
      <alignment horizontal="center" vertical="center" wrapText="1"/>
    </xf>
    <xf numFmtId="0" fontId="0" fillId="0" borderId="0" xfId="0" applyBorder="1"/>
    <xf numFmtId="0" fontId="2" fillId="3" borderId="0" xfId="1" applyFont="1" applyFill="1" applyBorder="1" applyAlignment="1">
      <alignment horizontal="center" vertical="center" wrapText="1"/>
    </xf>
    <xf numFmtId="0" fontId="2" fillId="0" borderId="0" xfId="1" applyBorder="1"/>
    <xf numFmtId="0" fontId="1" fillId="0" borderId="0" xfId="0" applyFont="1"/>
    <xf numFmtId="0" fontId="0" fillId="0" borderId="2" xfId="0" applyBorder="1" applyAlignment="1">
      <alignment horizontal="center"/>
    </xf>
    <xf numFmtId="0" fontId="0" fillId="0" borderId="8" xfId="0" applyBorder="1" applyAlignment="1">
      <alignment horizontal="left" indent="3"/>
    </xf>
    <xf numFmtId="0" fontId="0" fillId="0" borderId="1" xfId="0" applyBorder="1" applyAlignment="1">
      <alignment horizontal="left" indent="3"/>
    </xf>
    <xf numFmtId="0" fontId="0" fillId="0" borderId="9" xfId="0" applyBorder="1" applyAlignment="1">
      <alignment horizontal="left" indent="3"/>
    </xf>
    <xf numFmtId="0" fontId="0" fillId="0" borderId="6" xfId="0" applyBorder="1"/>
    <xf numFmtId="0" fontId="0" fillId="0" borderId="6" xfId="0" applyBorder="1" applyAlignment="1">
      <alignment horizontal="left" indent="4"/>
    </xf>
    <xf numFmtId="0" fontId="0" fillId="0" borderId="4" xfId="0" applyBorder="1" applyAlignment="1">
      <alignment horizontal="left" indent="6"/>
    </xf>
    <xf numFmtId="0" fontId="0" fillId="0" borderId="6" xfId="0" applyBorder="1" applyAlignment="1">
      <alignment horizontal="left" indent="6"/>
    </xf>
    <xf numFmtId="0" fontId="2" fillId="0" borderId="2" xfId="1" applyBorder="1"/>
    <xf numFmtId="0" fontId="2" fillId="0" borderId="2" xfId="1" applyFill="1" applyBorder="1"/>
    <xf numFmtId="0" fontId="2" fillId="0" borderId="2" xfId="1" applyFill="1" applyBorder="1" applyAlignment="1">
      <alignment horizontal="right"/>
    </xf>
    <xf numFmtId="0" fontId="0" fillId="0" borderId="2" xfId="0" applyBorder="1" applyAlignment="1">
      <alignment horizontal="right"/>
    </xf>
    <xf numFmtId="0" fontId="0" fillId="0" borderId="10" xfId="0" applyBorder="1"/>
    <xf numFmtId="0" fontId="0" fillId="0" borderId="3" xfId="0" applyBorder="1"/>
    <xf numFmtId="0" fontId="0" fillId="0" borderId="5" xfId="0" applyBorder="1"/>
    <xf numFmtId="0" fontId="0" fillId="0" borderId="3" xfId="0" applyBorder="1" applyAlignment="1"/>
    <xf numFmtId="0" fontId="2" fillId="3" borderId="5" xfId="1" applyFont="1" applyFill="1" applyBorder="1" applyAlignment="1">
      <alignment horizontal="center"/>
    </xf>
    <xf numFmtId="0" fontId="0" fillId="0" borderId="4" xfId="0" applyBorder="1" applyAlignment="1">
      <alignment horizontal="left" indent="8"/>
    </xf>
    <xf numFmtId="0" fontId="3" fillId="0" borderId="2" xfId="0" applyFont="1" applyBorder="1" applyAlignment="1">
      <alignment horizontal="center" wrapText="1"/>
    </xf>
    <xf numFmtId="0" fontId="3" fillId="0" borderId="2" xfId="0" applyFont="1" applyBorder="1" applyAlignment="1">
      <alignment horizontal="center"/>
    </xf>
    <xf numFmtId="0" fontId="0" fillId="0" borderId="0" xfId="0" applyAlignment="1">
      <alignment horizontal="center"/>
    </xf>
    <xf numFmtId="0" fontId="0" fillId="0" borderId="8" xfId="0" applyBorder="1"/>
    <xf numFmtId="0" fontId="0" fillId="0" borderId="2" xfId="0" applyBorder="1" applyAlignment="1">
      <alignment horizontal="left" indent="1"/>
    </xf>
    <xf numFmtId="0" fontId="0" fillId="0" borderId="7" xfId="0" applyBorder="1" applyAlignment="1">
      <alignment horizontal="center"/>
    </xf>
    <xf numFmtId="0" fontId="0" fillId="0" borderId="3" xfId="0" applyBorder="1" applyAlignment="1">
      <alignment horizontal="center"/>
    </xf>
    <xf numFmtId="0" fontId="0" fillId="0" borderId="5" xfId="0" applyBorder="1" applyAlignment="1">
      <alignment horizontal="left" indent="3"/>
    </xf>
    <xf numFmtId="0" fontId="0" fillId="0" borderId="6" xfId="0" applyBorder="1" applyAlignment="1">
      <alignment horizontal="left" indent="3"/>
    </xf>
    <xf numFmtId="0" fontId="0" fillId="0" borderId="5" xfId="0" applyBorder="1" applyAlignment="1">
      <alignment horizontal="left" indent="4"/>
    </xf>
    <xf numFmtId="0" fontId="0" fillId="0" borderId="5" xfId="0" applyBorder="1" applyAlignment="1">
      <alignment horizontal="left" indent="6"/>
    </xf>
    <xf numFmtId="0" fontId="0" fillId="0" borderId="4" xfId="0" applyBorder="1" applyAlignment="1">
      <alignment horizontal="left" indent="7"/>
    </xf>
    <xf numFmtId="0" fontId="0" fillId="0" borderId="5" xfId="0" applyBorder="1" applyAlignment="1">
      <alignment horizontal="left" indent="7"/>
    </xf>
    <xf numFmtId="0" fontId="0" fillId="0" borderId="6" xfId="0" applyBorder="1" applyAlignment="1">
      <alignment horizontal="left" indent="7"/>
    </xf>
    <xf numFmtId="0" fontId="0" fillId="0" borderId="5" xfId="0" applyBorder="1" applyAlignment="1">
      <alignment horizontal="left" indent="8"/>
    </xf>
    <xf numFmtId="0" fontId="0" fillId="0" borderId="6" xfId="0" applyBorder="1" applyAlignment="1">
      <alignment horizontal="left" indent="8"/>
    </xf>
    <xf numFmtId="0" fontId="0" fillId="0" borderId="5" xfId="0" applyBorder="1" applyAlignment="1">
      <alignment horizontal="left" indent="9"/>
    </xf>
    <xf numFmtId="0" fontId="0" fillId="0" borderId="6" xfId="0" applyBorder="1" applyAlignment="1">
      <alignment horizontal="left" indent="9"/>
    </xf>
    <xf numFmtId="0" fontId="0" fillId="0" borderId="8" xfId="0" applyBorder="1" applyAlignment="1">
      <alignment horizontal="left" indent="6"/>
    </xf>
    <xf numFmtId="0" fontId="0" fillId="0" borderId="1" xfId="0" applyBorder="1" applyAlignment="1">
      <alignment horizontal="left" indent="6"/>
    </xf>
    <xf numFmtId="0" fontId="0" fillId="0" borderId="9" xfId="0" applyBorder="1" applyAlignment="1">
      <alignment horizontal="left" indent="6"/>
    </xf>
    <xf numFmtId="0" fontId="0" fillId="0" borderId="11" xfId="0" applyBorder="1"/>
    <xf numFmtId="0" fontId="0" fillId="0" borderId="0" xfId="0" applyFill="1" applyBorder="1"/>
    <xf numFmtId="0" fontId="0" fillId="0" borderId="2" xfId="0" applyBorder="1" applyAlignment="1"/>
    <xf numFmtId="0" fontId="0" fillId="0" borderId="0" xfId="0" applyBorder="1" applyAlignment="1">
      <alignment horizontal="center"/>
    </xf>
    <xf numFmtId="0" fontId="0" fillId="0" borderId="0" xfId="0" applyBorder="1" applyAlignment="1">
      <alignment horizontal="right"/>
    </xf>
    <xf numFmtId="9" fontId="0" fillId="0" borderId="0" xfId="3" applyFont="1"/>
    <xf numFmtId="164" fontId="0" fillId="0" borderId="9" xfId="3" applyNumberFormat="1" applyFont="1" applyBorder="1" applyAlignment="1">
      <alignment horizontal="center"/>
    </xf>
    <xf numFmtId="9" fontId="0" fillId="0" borderId="12" xfId="3" applyFont="1" applyBorder="1" applyAlignment="1">
      <alignment horizontal="center"/>
    </xf>
    <xf numFmtId="9" fontId="0" fillId="0" borderId="13" xfId="3" applyFont="1" applyBorder="1" applyAlignment="1">
      <alignment horizontal="center"/>
    </xf>
    <xf numFmtId="0" fontId="0" fillId="0" borderId="9" xfId="0" applyBorder="1" applyAlignment="1">
      <alignment horizontal="center"/>
    </xf>
    <xf numFmtId="9" fontId="0" fillId="0" borderId="11" xfId="3" applyFont="1" applyBorder="1" applyAlignment="1">
      <alignment horizontal="center"/>
    </xf>
    <xf numFmtId="9" fontId="0" fillId="0" borderId="14" xfId="3" applyFont="1" applyBorder="1" applyAlignment="1">
      <alignment horizontal="center"/>
    </xf>
    <xf numFmtId="0" fontId="0" fillId="0" borderId="10" xfId="0" applyBorder="1" applyAlignment="1">
      <alignment horizontal="center"/>
    </xf>
    <xf numFmtId="9" fontId="0" fillId="0" borderId="10" xfId="3" applyFont="1" applyBorder="1" applyAlignment="1">
      <alignment horizontal="center"/>
    </xf>
    <xf numFmtId="9" fontId="0" fillId="0" borderId="7" xfId="3" applyFont="1" applyBorder="1" applyAlignment="1">
      <alignment horizontal="center"/>
    </xf>
    <xf numFmtId="0" fontId="0" fillId="0" borderId="4" xfId="0" applyBorder="1" applyAlignment="1">
      <alignment horizontal="left" indent="1"/>
    </xf>
    <xf numFmtId="0" fontId="0" fillId="0" borderId="6" xfId="0" applyBorder="1" applyAlignment="1">
      <alignment horizontal="left" indent="1"/>
    </xf>
    <xf numFmtId="0" fontId="6" fillId="0" borderId="8" xfId="0" applyFont="1" applyBorder="1" applyAlignment="1">
      <alignment horizontal="center"/>
    </xf>
    <xf numFmtId="0" fontId="6" fillId="0" borderId="9" xfId="0" applyFont="1" applyBorder="1" applyAlignment="1">
      <alignment horizontal="center"/>
    </xf>
    <xf numFmtId="9" fontId="0" fillId="0" borderId="7" xfId="0" applyNumberFormat="1" applyBorder="1" applyAlignment="1">
      <alignment horizontal="center"/>
    </xf>
    <xf numFmtId="10" fontId="0" fillId="0" borderId="7" xfId="3" applyNumberFormat="1" applyFont="1" applyBorder="1" applyAlignment="1">
      <alignment horizontal="center"/>
    </xf>
    <xf numFmtId="10" fontId="0" fillId="0" borderId="14" xfId="3" applyNumberFormat="1" applyFont="1" applyBorder="1" applyAlignment="1">
      <alignment horizontal="center"/>
    </xf>
    <xf numFmtId="10" fontId="0" fillId="0" borderId="7" xfId="0" applyNumberFormat="1" applyBorder="1" applyAlignment="1">
      <alignment horizontal="center"/>
    </xf>
    <xf numFmtId="10" fontId="0" fillId="0" borderId="7" xfId="0" applyNumberFormat="1" applyFill="1" applyBorder="1" applyAlignment="1">
      <alignment horizontal="center"/>
    </xf>
    <xf numFmtId="10" fontId="0" fillId="0" borderId="14" xfId="3" applyNumberFormat="1" applyFont="1" applyFill="1" applyBorder="1" applyAlignment="1">
      <alignment horizontal="center"/>
    </xf>
    <xf numFmtId="10" fontId="0" fillId="0" borderId="3" xfId="0" applyNumberFormat="1" applyBorder="1" applyAlignment="1">
      <alignment horizontal="center"/>
    </xf>
    <xf numFmtId="10" fontId="0" fillId="0" borderId="13" xfId="3" applyNumberFormat="1" applyFont="1" applyBorder="1" applyAlignment="1">
      <alignment horizontal="center"/>
    </xf>
    <xf numFmtId="10" fontId="0" fillId="0" borderId="0" xfId="0" applyNumberFormat="1" applyFill="1" applyBorder="1" applyAlignment="1">
      <alignment horizontal="center"/>
    </xf>
    <xf numFmtId="10" fontId="0" fillId="0" borderId="0" xfId="3" applyNumberFormat="1" applyFont="1" applyFill="1" applyBorder="1" applyAlignment="1">
      <alignment horizontal="center"/>
    </xf>
    <xf numFmtId="9" fontId="0" fillId="0" borderId="0" xfId="3" applyFont="1" applyBorder="1" applyAlignment="1">
      <alignment horizontal="center"/>
    </xf>
    <xf numFmtId="9" fontId="0" fillId="0" borderId="0" xfId="3" applyFont="1" applyBorder="1"/>
    <xf numFmtId="9" fontId="0" fillId="0" borderId="8" xfId="3" applyFont="1" applyBorder="1" applyAlignment="1">
      <alignment horizontal="center"/>
    </xf>
    <xf numFmtId="9" fontId="0" fillId="0" borderId="9" xfId="3" applyFont="1" applyBorder="1" applyAlignment="1">
      <alignment horizontal="center"/>
    </xf>
    <xf numFmtId="9" fontId="0" fillId="0" borderId="2" xfId="3" applyFont="1" applyBorder="1" applyAlignment="1">
      <alignment horizontal="center"/>
    </xf>
    <xf numFmtId="0" fontId="0" fillId="0" borderId="8" xfId="0" applyBorder="1" applyAlignment="1">
      <alignment horizontal="center"/>
    </xf>
    <xf numFmtId="0" fontId="7" fillId="0" borderId="0" xfId="0" applyFont="1" applyFill="1" applyBorder="1" applyAlignment="1">
      <alignment horizontal="center"/>
    </xf>
    <xf numFmtId="0" fontId="3" fillId="0" borderId="0" xfId="0" applyFont="1" applyBorder="1" applyAlignment="1">
      <alignment horizontal="center" wrapText="1"/>
    </xf>
    <xf numFmtId="0" fontId="3" fillId="0" borderId="0" xfId="0" applyFont="1" applyBorder="1" applyAlignment="1">
      <alignment horizontal="center"/>
    </xf>
    <xf numFmtId="0" fontId="0" fillId="0" borderId="0" xfId="0" applyFill="1" applyBorder="1" applyAlignment="1">
      <alignment horizontal="center"/>
    </xf>
    <xf numFmtId="9" fontId="0" fillId="0" borderId="3" xfId="3" applyFont="1" applyBorder="1" applyAlignment="1">
      <alignment horizontal="center"/>
    </xf>
    <xf numFmtId="0" fontId="0" fillId="0" borderId="0" xfId="0" applyFont="1" applyAlignment="1">
      <alignment horizontal="center"/>
    </xf>
    <xf numFmtId="9" fontId="0" fillId="0" borderId="9" xfId="3" applyFont="1" applyBorder="1"/>
    <xf numFmtId="9" fontId="0" fillId="0" borderId="14" xfId="3" applyFont="1" applyBorder="1"/>
    <xf numFmtId="0" fontId="0" fillId="0" borderId="12" xfId="0" applyBorder="1"/>
    <xf numFmtId="9" fontId="0" fillId="0" borderId="13" xfId="3" applyFont="1" applyBorder="1"/>
    <xf numFmtId="9" fontId="0" fillId="2" borderId="7" xfId="3" applyFont="1" applyFill="1" applyBorder="1" applyAlignment="1">
      <alignment horizontal="center"/>
    </xf>
    <xf numFmtId="9" fontId="0" fillId="0" borderId="0" xfId="3" applyFont="1" applyAlignment="1">
      <alignment horizontal="center"/>
    </xf>
    <xf numFmtId="9" fontId="0" fillId="0" borderId="10" xfId="0" applyNumberFormat="1" applyBorder="1" applyAlignment="1">
      <alignment horizontal="center"/>
    </xf>
    <xf numFmtId="9" fontId="0" fillId="4" borderId="7" xfId="3" applyFont="1" applyFill="1" applyBorder="1" applyAlignment="1">
      <alignment horizontal="center"/>
    </xf>
    <xf numFmtId="0" fontId="0" fillId="0" borderId="2" xfId="3" applyNumberFormat="1" applyFont="1" applyBorder="1" applyAlignment="1">
      <alignment horizontal="center"/>
    </xf>
    <xf numFmtId="0" fontId="2" fillId="5" borderId="10" xfId="1" applyFill="1" applyBorder="1"/>
    <xf numFmtId="0" fontId="2" fillId="5" borderId="7" xfId="1" applyFill="1" applyBorder="1"/>
    <xf numFmtId="0" fontId="0" fillId="5" borderId="7" xfId="0" applyFill="1" applyBorder="1"/>
    <xf numFmtId="0" fontId="2" fillId="5" borderId="7" xfId="1" applyFill="1" applyBorder="1" applyAlignment="1">
      <alignment horizontal="right"/>
    </xf>
    <xf numFmtId="0" fontId="0" fillId="5" borderId="7" xfId="0" applyFill="1" applyBorder="1" applyAlignment="1">
      <alignment horizontal="right"/>
    </xf>
    <xf numFmtId="0" fontId="0" fillId="5" borderId="3" xfId="0" applyFill="1" applyBorder="1" applyAlignment="1">
      <alignment horizontal="right"/>
    </xf>
    <xf numFmtId="0" fontId="0" fillId="5" borderId="10" xfId="0" applyFill="1" applyBorder="1" applyAlignment="1">
      <alignment horizontal="center"/>
    </xf>
    <xf numFmtId="0" fontId="0" fillId="5" borderId="0" xfId="0" applyFill="1" applyAlignment="1">
      <alignment horizontal="center"/>
    </xf>
    <xf numFmtId="2" fontId="0" fillId="5" borderId="10" xfId="0" applyNumberFormat="1" applyFill="1" applyBorder="1" applyAlignment="1">
      <alignment horizontal="center"/>
    </xf>
    <xf numFmtId="0" fontId="0" fillId="5" borderId="7" xfId="0" applyFill="1" applyBorder="1" applyAlignment="1">
      <alignment horizontal="center"/>
    </xf>
    <xf numFmtId="2" fontId="0" fillId="5" borderId="2" xfId="0" applyNumberFormat="1" applyFill="1" applyBorder="1" applyAlignment="1">
      <alignment horizontal="center"/>
    </xf>
    <xf numFmtId="0" fontId="0" fillId="5" borderId="3" xfId="0" applyFill="1" applyBorder="1" applyAlignment="1">
      <alignment horizontal="center"/>
    </xf>
    <xf numFmtId="0" fontId="0" fillId="5" borderId="2" xfId="0" applyFill="1" applyBorder="1" applyAlignment="1">
      <alignment horizontal="center"/>
    </xf>
    <xf numFmtId="2" fontId="0" fillId="0" borderId="2" xfId="3" applyNumberFormat="1" applyFont="1" applyBorder="1" applyAlignment="1">
      <alignment horizontal="center"/>
    </xf>
    <xf numFmtId="9" fontId="0" fillId="0" borderId="2" xfId="0" applyNumberFormat="1" applyBorder="1"/>
    <xf numFmtId="2" fontId="0" fillId="0" borderId="2" xfId="0" applyNumberFormat="1" applyBorder="1"/>
    <xf numFmtId="9" fontId="0" fillId="4" borderId="0" xfId="3" applyFont="1" applyFill="1" applyAlignment="1">
      <alignment horizontal="center"/>
    </xf>
    <xf numFmtId="0" fontId="0" fillId="0" borderId="6" xfId="0" applyBorder="1" applyAlignment="1">
      <alignment horizontal="center"/>
    </xf>
    <xf numFmtId="0" fontId="0" fillId="0" borderId="8" xfId="0" applyBorder="1" applyAlignment="1">
      <alignment horizontal="left" indent="9"/>
    </xf>
    <xf numFmtId="0" fontId="2" fillId="3" borderId="3" xfId="1" applyFont="1" applyFill="1" applyBorder="1" applyAlignment="1">
      <alignment horizontal="center" wrapText="1"/>
    </xf>
    <xf numFmtId="9" fontId="0" fillId="0" borderId="2" xfId="3" applyFont="1" applyBorder="1"/>
    <xf numFmtId="0" fontId="0" fillId="0" borderId="0" xfId="0" applyFill="1"/>
    <xf numFmtId="0" fontId="2" fillId="0" borderId="0" xfId="1" applyFont="1" applyFill="1" applyBorder="1" applyAlignment="1">
      <alignment horizontal="center"/>
    </xf>
    <xf numFmtId="9" fontId="0" fillId="4" borderId="3" xfId="3" applyFont="1" applyFill="1" applyBorder="1" applyAlignment="1">
      <alignment horizontal="center"/>
    </xf>
    <xf numFmtId="164" fontId="0" fillId="0" borderId="0" xfId="0" applyNumberFormat="1"/>
    <xf numFmtId="165" fontId="0" fillId="0" borderId="0" xfId="0" applyNumberFormat="1"/>
    <xf numFmtId="9" fontId="0" fillId="0" borderId="0" xfId="0" applyNumberFormat="1" applyBorder="1" applyAlignment="1">
      <alignment horizontal="center"/>
    </xf>
    <xf numFmtId="0" fontId="0" fillId="0" borderId="15" xfId="0" applyBorder="1"/>
    <xf numFmtId="0" fontId="0" fillId="0" borderId="14" xfId="0" applyBorder="1"/>
    <xf numFmtId="0" fontId="0" fillId="0" borderId="13" xfId="0" applyBorder="1"/>
    <xf numFmtId="0" fontId="0" fillId="0" borderId="7" xfId="0" applyBorder="1"/>
    <xf numFmtId="9" fontId="0" fillId="0" borderId="0" xfId="0" applyNumberFormat="1" applyFill="1" applyBorder="1"/>
    <xf numFmtId="0" fontId="0" fillId="5" borderId="0" xfId="0" applyFill="1" applyBorder="1" applyAlignment="1">
      <alignment horizontal="center"/>
    </xf>
    <xf numFmtId="0" fontId="0" fillId="5" borderId="15" xfId="0" applyFill="1" applyBorder="1" applyAlignment="1">
      <alignment horizontal="center"/>
    </xf>
    <xf numFmtId="10" fontId="0" fillId="0" borderId="10" xfId="3" applyNumberFormat="1" applyFont="1" applyBorder="1" applyAlignment="1">
      <alignment horizontal="center"/>
    </xf>
    <xf numFmtId="10" fontId="0" fillId="2" borderId="7" xfId="3" applyNumberFormat="1" applyFont="1" applyFill="1" applyBorder="1" applyAlignment="1">
      <alignment horizontal="center"/>
    </xf>
    <xf numFmtId="10" fontId="0" fillId="7" borderId="7" xfId="3" applyNumberFormat="1" applyFont="1" applyFill="1" applyBorder="1" applyAlignment="1">
      <alignment horizontal="center"/>
    </xf>
    <xf numFmtId="10" fontId="0" fillId="0" borderId="0" xfId="0" applyNumberFormat="1" applyBorder="1"/>
    <xf numFmtId="10" fontId="0" fillId="0" borderId="2" xfId="3" applyNumberFormat="1" applyFont="1" applyBorder="1" applyAlignment="1">
      <alignment horizontal="center"/>
    </xf>
    <xf numFmtId="0" fontId="0" fillId="0" borderId="0" xfId="0" applyFill="1" applyBorder="1" applyAlignment="1"/>
    <xf numFmtId="10" fontId="0" fillId="0" borderId="0" xfId="0" applyNumberFormat="1" applyFill="1" applyBorder="1" applyAlignment="1"/>
    <xf numFmtId="0" fontId="0" fillId="0" borderId="4" xfId="0" applyBorder="1" applyAlignment="1">
      <alignment horizontal="left" indent="9"/>
    </xf>
    <xf numFmtId="0" fontId="1" fillId="0" borderId="2" xfId="0" applyFont="1" applyBorder="1"/>
    <xf numFmtId="0" fontId="2" fillId="0" borderId="2" xfId="1" applyBorder="1" applyAlignment="1">
      <alignment horizontal="center"/>
    </xf>
    <xf numFmtId="2" fontId="1" fillId="0" borderId="0" xfId="0" applyNumberFormat="1" applyFont="1" applyFill="1" applyBorder="1" applyAlignment="1">
      <alignment horizontal="center"/>
    </xf>
    <xf numFmtId="9" fontId="0" fillId="0" borderId="0" xfId="3" applyFont="1" applyFill="1" applyBorder="1" applyAlignment="1">
      <alignment horizontal="center"/>
    </xf>
    <xf numFmtId="2" fontId="0" fillId="0" borderId="0" xfId="0" applyNumberFormat="1" applyFill="1" applyBorder="1" applyAlignment="1">
      <alignment horizontal="center"/>
    </xf>
    <xf numFmtId="0" fontId="1" fillId="0" borderId="2" xfId="0" applyFont="1" applyFill="1" applyBorder="1" applyAlignment="1">
      <alignment horizontal="center"/>
    </xf>
    <xf numFmtId="0" fontId="0" fillId="0" borderId="2" xfId="0" applyFill="1" applyBorder="1" applyAlignment="1">
      <alignment horizontal="center"/>
    </xf>
    <xf numFmtId="0" fontId="0" fillId="8" borderId="4" xfId="0" applyFill="1" applyBorder="1"/>
    <xf numFmtId="0" fontId="1" fillId="0" borderId="4" xfId="0" applyFont="1" applyFill="1" applyBorder="1" applyAlignment="1">
      <alignment horizontal="center"/>
    </xf>
    <xf numFmtId="0" fontId="0" fillId="0" borderId="10" xfId="0" applyFill="1" applyBorder="1" applyAlignment="1">
      <alignment horizontal="center"/>
    </xf>
    <xf numFmtId="2" fontId="0" fillId="2" borderId="10" xfId="0" applyNumberFormat="1" applyFill="1" applyBorder="1" applyAlignment="1">
      <alignment horizontal="center"/>
    </xf>
    <xf numFmtId="0" fontId="0" fillId="9" borderId="7" xfId="0" applyFill="1" applyBorder="1" applyAlignment="1">
      <alignment horizontal="center"/>
    </xf>
    <xf numFmtId="0" fontId="7" fillId="9" borderId="11" xfId="0" applyFont="1" applyFill="1" applyBorder="1" applyAlignment="1">
      <alignment horizontal="center"/>
    </xf>
    <xf numFmtId="2" fontId="0" fillId="2" borderId="3" xfId="0" applyNumberFormat="1" applyFill="1" applyBorder="1" applyAlignment="1">
      <alignment horizontal="center"/>
    </xf>
    <xf numFmtId="166" fontId="0" fillId="0" borderId="2" xfId="0" applyNumberFormat="1" applyBorder="1" applyAlignment="1">
      <alignment horizontal="center"/>
    </xf>
    <xf numFmtId="166" fontId="0" fillId="0" borderId="0" xfId="0" applyNumberFormat="1" applyAlignment="1">
      <alignment horizontal="center"/>
    </xf>
    <xf numFmtId="10" fontId="0" fillId="0" borderId="0" xfId="3" applyNumberFormat="1" applyFont="1" applyAlignment="1">
      <alignment horizontal="center"/>
    </xf>
    <xf numFmtId="10" fontId="0" fillId="0" borderId="2" xfId="3" applyNumberFormat="1" applyFont="1" applyBorder="1"/>
    <xf numFmtId="10" fontId="0" fillId="0" borderId="2" xfId="3" applyNumberFormat="1" applyFont="1" applyFill="1" applyBorder="1"/>
    <xf numFmtId="0" fontId="0" fillId="0" borderId="8" xfId="0" applyFill="1" applyBorder="1"/>
    <xf numFmtId="0" fontId="7" fillId="0" borderId="2" xfId="0" applyFont="1" applyFill="1" applyBorder="1" applyAlignment="1">
      <alignment horizontal="center"/>
    </xf>
    <xf numFmtId="0" fontId="3" fillId="0" borderId="10" xfId="1" applyFont="1" applyFill="1" applyBorder="1" applyAlignment="1">
      <alignment horizontal="center" wrapText="1"/>
    </xf>
    <xf numFmtId="0" fontId="3" fillId="0" borderId="6" xfId="1" applyFont="1" applyBorder="1" applyAlignment="1">
      <alignment horizontal="center" wrapText="1"/>
    </xf>
    <xf numFmtId="0" fontId="0" fillId="0" borderId="12" xfId="0" applyBorder="1" applyAlignment="1">
      <alignment horizontal="center"/>
    </xf>
    <xf numFmtId="10" fontId="0" fillId="0" borderId="3" xfId="3" applyNumberFormat="1" applyFont="1" applyBorder="1" applyAlignment="1">
      <alignment horizontal="center"/>
    </xf>
    <xf numFmtId="0" fontId="7" fillId="0" borderId="2" xfId="0" applyFont="1" applyBorder="1"/>
    <xf numFmtId="10" fontId="0" fillId="0" borderId="0" xfId="0" applyNumberFormat="1"/>
    <xf numFmtId="10" fontId="0" fillId="0" borderId="0" xfId="0" applyNumberFormat="1" applyFill="1" applyBorder="1"/>
    <xf numFmtId="0" fontId="2" fillId="0" borderId="0" xfId="1" applyFill="1" applyBorder="1" applyAlignment="1">
      <alignment horizontal="center"/>
    </xf>
    <xf numFmtId="0" fontId="6" fillId="0" borderId="0" xfId="0" applyFont="1" applyFill="1" applyBorder="1"/>
    <xf numFmtId="9" fontId="0" fillId="0" borderId="0" xfId="3" applyFont="1" applyFill="1" applyBorder="1"/>
    <xf numFmtId="0" fontId="0" fillId="0" borderId="0" xfId="0" applyFill="1" applyBorder="1" applyAlignment="1">
      <alignment horizontal="right"/>
    </xf>
    <xf numFmtId="9" fontId="0" fillId="0" borderId="0" xfId="0" applyNumberFormat="1" applyFill="1" applyBorder="1" applyAlignment="1">
      <alignment horizontal="center"/>
    </xf>
    <xf numFmtId="0" fontId="0" fillId="0" borderId="0" xfId="0" applyFill="1" applyBorder="1" applyAlignment="1">
      <alignment horizontal="left" indent="8"/>
    </xf>
    <xf numFmtId="0" fontId="0" fillId="0" borderId="0" xfId="0" applyFill="1" applyBorder="1" applyAlignment="1">
      <alignment horizontal="left" indent="4"/>
    </xf>
    <xf numFmtId="0" fontId="2" fillId="0" borderId="0" xfId="1" applyFont="1" applyFill="1" applyBorder="1" applyAlignment="1">
      <alignment horizontal="center" wrapText="1"/>
    </xf>
    <xf numFmtId="0" fontId="0" fillId="0" borderId="0" xfId="0" applyFill="1" applyBorder="1" applyAlignment="1">
      <alignment horizontal="left" indent="7"/>
    </xf>
    <xf numFmtId="0" fontId="8" fillId="0" borderId="0" xfId="0" applyFont="1" applyFill="1" applyBorder="1"/>
    <xf numFmtId="0" fontId="6" fillId="0" borderId="0" xfId="0" applyFont="1" applyFill="1" applyBorder="1" applyAlignment="1">
      <alignment horizontal="left"/>
    </xf>
    <xf numFmtId="0" fontId="3" fillId="0" borderId="0" xfId="0" applyFont="1" applyFill="1" applyBorder="1" applyAlignment="1">
      <alignment horizontal="center"/>
    </xf>
    <xf numFmtId="0" fontId="9" fillId="0" borderId="0" xfId="0" applyFont="1" applyFill="1" applyBorder="1"/>
    <xf numFmtId="0" fontId="0" fillId="11" borderId="10" xfId="0" applyFill="1" applyBorder="1" applyAlignment="1">
      <alignment horizontal="center"/>
    </xf>
    <xf numFmtId="0" fontId="0" fillId="11" borderId="8" xfId="0" applyFill="1" applyBorder="1" applyAlignment="1">
      <alignment horizontal="center"/>
    </xf>
    <xf numFmtId="0" fontId="2" fillId="11" borderId="4" xfId="0" applyFont="1" applyFill="1" applyBorder="1" applyAlignment="1">
      <alignment horizontal="left" indent="5"/>
    </xf>
    <xf numFmtId="0" fontId="0" fillId="11" borderId="5" xfId="0" applyFill="1" applyBorder="1" applyAlignment="1">
      <alignment horizontal="left" indent="1"/>
    </xf>
    <xf numFmtId="0" fontId="0" fillId="11" borderId="6" xfId="0" applyFill="1" applyBorder="1" applyAlignment="1">
      <alignment horizontal="left"/>
    </xf>
    <xf numFmtId="0" fontId="2" fillId="11" borderId="9" xfId="0" applyFont="1" applyFill="1" applyBorder="1" applyAlignment="1">
      <alignment horizontal="center"/>
    </xf>
    <xf numFmtId="0" fontId="0" fillId="11" borderId="10" xfId="0" applyFill="1" applyBorder="1"/>
    <xf numFmtId="0" fontId="0" fillId="11" borderId="2" xfId="0" applyFill="1" applyBorder="1" applyAlignment="1">
      <alignment horizontal="center"/>
    </xf>
    <xf numFmtId="0" fontId="2" fillId="11" borderId="2" xfId="0" applyFont="1" applyFill="1" applyBorder="1" applyAlignment="1">
      <alignment horizontal="center"/>
    </xf>
    <xf numFmtId="0" fontId="2" fillId="9" borderId="3" xfId="0" applyFont="1" applyFill="1" applyBorder="1" applyAlignment="1">
      <alignment horizontal="center"/>
    </xf>
    <xf numFmtId="2" fontId="2" fillId="9" borderId="3" xfId="0" applyNumberFormat="1" applyFont="1" applyFill="1" applyBorder="1" applyAlignment="1">
      <alignment horizontal="center"/>
    </xf>
    <xf numFmtId="2" fontId="0" fillId="9" borderId="3" xfId="0" applyNumberFormat="1" applyFill="1" applyBorder="1" applyAlignment="1">
      <alignment horizontal="center"/>
    </xf>
    <xf numFmtId="0" fontId="2" fillId="9" borderId="2" xfId="0" applyFont="1" applyFill="1" applyBorder="1" applyAlignment="1">
      <alignment horizontal="center"/>
    </xf>
    <xf numFmtId="2" fontId="2" fillId="9" borderId="2" xfId="0" applyNumberFormat="1" applyFont="1" applyFill="1" applyBorder="1" applyAlignment="1">
      <alignment horizontal="center"/>
    </xf>
    <xf numFmtId="2" fontId="0" fillId="9" borderId="2" xfId="0" applyNumberFormat="1" applyFill="1" applyBorder="1" applyAlignment="1">
      <alignment horizontal="center"/>
    </xf>
    <xf numFmtId="0" fontId="0" fillId="9" borderId="2" xfId="0" applyFill="1" applyBorder="1" applyAlignment="1">
      <alignment horizontal="center"/>
    </xf>
    <xf numFmtId="2" fontId="2" fillId="9" borderId="7" xfId="0" applyNumberFormat="1" applyFont="1" applyFill="1" applyBorder="1" applyAlignment="1">
      <alignment horizontal="center"/>
    </xf>
    <xf numFmtId="2" fontId="2" fillId="9" borderId="0" xfId="0" applyNumberFormat="1" applyFont="1" applyFill="1" applyBorder="1" applyAlignment="1">
      <alignment horizontal="center"/>
    </xf>
    <xf numFmtId="0" fontId="2" fillId="7" borderId="2" xfId="0" applyFont="1" applyFill="1" applyBorder="1" applyAlignment="1">
      <alignment horizontal="center"/>
    </xf>
    <xf numFmtId="2" fontId="2" fillId="7" borderId="2" xfId="0" applyNumberFormat="1" applyFont="1" applyFill="1" applyBorder="1" applyAlignment="1">
      <alignment horizontal="center"/>
    </xf>
    <xf numFmtId="2" fontId="0" fillId="7" borderId="2" xfId="0" applyNumberFormat="1" applyFill="1" applyBorder="1" applyAlignment="1">
      <alignment horizontal="center"/>
    </xf>
    <xf numFmtId="0" fontId="2" fillId="12" borderId="2" xfId="0" applyFont="1" applyFill="1" applyBorder="1" applyAlignment="1">
      <alignment horizontal="center"/>
    </xf>
    <xf numFmtId="2" fontId="2" fillId="12" borderId="2" xfId="0" applyNumberFormat="1" applyFont="1" applyFill="1" applyBorder="1" applyAlignment="1">
      <alignment horizontal="center"/>
    </xf>
    <xf numFmtId="2" fontId="0" fillId="12" borderId="2" xfId="0" applyNumberFormat="1" applyFill="1" applyBorder="1" applyAlignment="1">
      <alignment horizontal="center"/>
    </xf>
    <xf numFmtId="0" fontId="2" fillId="13" borderId="2" xfId="0" applyFont="1" applyFill="1" applyBorder="1" applyAlignment="1">
      <alignment horizontal="center"/>
    </xf>
    <xf numFmtId="2" fontId="2" fillId="13" borderId="2" xfId="0" applyNumberFormat="1" applyFont="1" applyFill="1" applyBorder="1" applyAlignment="1">
      <alignment horizontal="center"/>
    </xf>
    <xf numFmtId="2" fontId="0" fillId="13" borderId="2" xfId="0" applyNumberFormat="1" applyFill="1" applyBorder="1" applyAlignment="1">
      <alignment horizontal="center"/>
    </xf>
    <xf numFmtId="0" fontId="2" fillId="2" borderId="2" xfId="0" applyFont="1" applyFill="1" applyBorder="1" applyAlignment="1">
      <alignment horizontal="center"/>
    </xf>
    <xf numFmtId="2" fontId="2" fillId="2" borderId="2" xfId="0" applyNumberFormat="1" applyFont="1" applyFill="1" applyBorder="1" applyAlignment="1">
      <alignment horizontal="center"/>
    </xf>
    <xf numFmtId="2" fontId="0" fillId="2" borderId="2" xfId="0" applyNumberFormat="1" applyFill="1" applyBorder="1" applyAlignment="1">
      <alignment horizontal="center"/>
    </xf>
    <xf numFmtId="0" fontId="2" fillId="2" borderId="10" xfId="0" applyFont="1" applyFill="1" applyBorder="1" applyAlignment="1">
      <alignment horizontal="center"/>
    </xf>
    <xf numFmtId="2" fontId="2" fillId="2" borderId="10" xfId="0" applyNumberFormat="1" applyFont="1" applyFill="1" applyBorder="1" applyAlignment="1">
      <alignment horizontal="center"/>
    </xf>
    <xf numFmtId="0" fontId="2" fillId="2" borderId="20" xfId="0" applyFont="1" applyFill="1" applyBorder="1" applyAlignment="1">
      <alignment horizontal="center"/>
    </xf>
    <xf numFmtId="0" fontId="2" fillId="2" borderId="21" xfId="0" applyFont="1" applyFill="1" applyBorder="1" applyAlignment="1">
      <alignment horizontal="center"/>
    </xf>
    <xf numFmtId="2" fontId="2" fillId="2" borderId="21" xfId="0" applyNumberFormat="1" applyFont="1" applyFill="1" applyBorder="1" applyAlignment="1">
      <alignment horizontal="center"/>
    </xf>
    <xf numFmtId="2" fontId="0" fillId="2" borderId="22" xfId="0" applyNumberFormat="1" applyFill="1" applyBorder="1" applyAlignment="1">
      <alignment horizontal="center"/>
    </xf>
    <xf numFmtId="0" fontId="2" fillId="2" borderId="3" xfId="0" applyFont="1" applyFill="1" applyBorder="1" applyAlignment="1">
      <alignment horizontal="center"/>
    </xf>
    <xf numFmtId="2" fontId="2" fillId="2" borderId="3" xfId="0" applyNumberFormat="1" applyFont="1" applyFill="1" applyBorder="1" applyAlignment="1">
      <alignment horizontal="center"/>
    </xf>
    <xf numFmtId="0" fontId="2" fillId="10" borderId="2" xfId="0" applyFont="1" applyFill="1" applyBorder="1" applyAlignment="1">
      <alignment horizontal="center"/>
    </xf>
    <xf numFmtId="2" fontId="2" fillId="10" borderId="2" xfId="0" applyNumberFormat="1" applyFont="1" applyFill="1" applyBorder="1" applyAlignment="1">
      <alignment horizontal="center"/>
    </xf>
    <xf numFmtId="2" fontId="0" fillId="10" borderId="2" xfId="0" applyNumberFormat="1" applyFill="1" applyBorder="1" applyAlignment="1">
      <alignment horizontal="center"/>
    </xf>
    <xf numFmtId="0" fontId="2" fillId="10" borderId="10" xfId="0" applyFont="1" applyFill="1" applyBorder="1" applyAlignment="1">
      <alignment horizontal="center"/>
    </xf>
    <xf numFmtId="2" fontId="2" fillId="10" borderId="10" xfId="0" applyNumberFormat="1" applyFont="1" applyFill="1" applyBorder="1" applyAlignment="1">
      <alignment horizontal="center"/>
    </xf>
    <xf numFmtId="2" fontId="0" fillId="10" borderId="10" xfId="0" applyNumberFormat="1" applyFill="1" applyBorder="1" applyAlignment="1">
      <alignment horizontal="center"/>
    </xf>
    <xf numFmtId="0" fontId="2" fillId="10" borderId="20" xfId="0" applyFont="1" applyFill="1" applyBorder="1" applyAlignment="1">
      <alignment horizontal="center"/>
    </xf>
    <xf numFmtId="0" fontId="2" fillId="10" borderId="21" xfId="0" applyFont="1" applyFill="1" applyBorder="1" applyAlignment="1">
      <alignment horizontal="center"/>
    </xf>
    <xf numFmtId="2" fontId="2" fillId="10" borderId="21" xfId="0" applyNumberFormat="1" applyFont="1" applyFill="1" applyBorder="1" applyAlignment="1">
      <alignment horizontal="center"/>
    </xf>
    <xf numFmtId="2" fontId="0" fillId="10" borderId="22" xfId="0" applyNumberFormat="1" applyFill="1" applyBorder="1" applyAlignment="1">
      <alignment horizontal="center"/>
    </xf>
    <xf numFmtId="0" fontId="2" fillId="10" borderId="3" xfId="0" applyFont="1" applyFill="1" applyBorder="1" applyAlignment="1">
      <alignment horizontal="center"/>
    </xf>
    <xf numFmtId="2" fontId="2" fillId="10" borderId="3" xfId="0" applyNumberFormat="1" applyFont="1" applyFill="1" applyBorder="1" applyAlignment="1">
      <alignment horizontal="center"/>
    </xf>
    <xf numFmtId="2" fontId="0" fillId="10" borderId="3" xfId="0" applyNumberFormat="1" applyFill="1" applyBorder="1" applyAlignment="1">
      <alignment horizontal="center"/>
    </xf>
    <xf numFmtId="0" fontId="0" fillId="0" borderId="15" xfId="0" applyFill="1" applyBorder="1" applyAlignment="1">
      <alignment horizontal="center"/>
    </xf>
    <xf numFmtId="2" fontId="2" fillId="0" borderId="0" xfId="0" applyNumberFormat="1" applyFont="1" applyFill="1" applyBorder="1" applyAlignment="1">
      <alignment horizontal="center"/>
    </xf>
    <xf numFmtId="10" fontId="0" fillId="2" borderId="2" xfId="3" applyNumberFormat="1" applyFont="1" applyFill="1" applyBorder="1" applyAlignment="1">
      <alignment horizontal="center"/>
    </xf>
    <xf numFmtId="10" fontId="0" fillId="10" borderId="2" xfId="3" applyNumberFormat="1" applyFont="1" applyFill="1" applyBorder="1" applyAlignment="1">
      <alignment horizontal="center"/>
    </xf>
    <xf numFmtId="10" fontId="0" fillId="2" borderId="0" xfId="0" applyNumberFormat="1" applyFill="1"/>
    <xf numFmtId="10" fontId="0" fillId="10" borderId="7" xfId="3" applyNumberFormat="1" applyFont="1" applyFill="1" applyBorder="1" applyAlignment="1">
      <alignment horizontal="center"/>
    </xf>
    <xf numFmtId="10" fontId="0" fillId="10" borderId="0" xfId="0" applyNumberFormat="1" applyFill="1"/>
    <xf numFmtId="10" fontId="0" fillId="2" borderId="0" xfId="3" applyNumberFormat="1" applyFont="1" applyFill="1" applyAlignment="1">
      <alignment horizontal="center"/>
    </xf>
    <xf numFmtId="10" fontId="0" fillId="10" borderId="0" xfId="3" applyNumberFormat="1" applyFont="1" applyFill="1" applyAlignment="1">
      <alignment horizontal="center"/>
    </xf>
    <xf numFmtId="2" fontId="2" fillId="2" borderId="0" xfId="0" applyNumberFormat="1" applyFont="1" applyFill="1" applyBorder="1" applyAlignment="1">
      <alignment horizontal="center"/>
    </xf>
    <xf numFmtId="0" fontId="2" fillId="0" borderId="0" xfId="0" applyFont="1" applyFill="1" applyBorder="1" applyAlignment="1">
      <alignment horizontal="center"/>
    </xf>
    <xf numFmtId="10" fontId="0" fillId="10" borderId="0" xfId="3" applyNumberFormat="1" applyFont="1" applyFill="1" applyBorder="1" applyAlignment="1">
      <alignment horizontal="center"/>
    </xf>
    <xf numFmtId="10" fontId="0" fillId="10" borderId="7" xfId="0" applyNumberFormat="1" applyFill="1" applyBorder="1" applyAlignment="1">
      <alignment horizontal="center"/>
    </xf>
    <xf numFmtId="10" fontId="0" fillId="10" borderId="0" xfId="0" applyNumberFormat="1" applyFill="1" applyBorder="1" applyAlignment="1">
      <alignment horizontal="center"/>
    </xf>
    <xf numFmtId="10" fontId="0" fillId="0" borderId="2" xfId="0" applyNumberFormat="1" applyFill="1" applyBorder="1"/>
    <xf numFmtId="10" fontId="0" fillId="0" borderId="0" xfId="3" applyNumberFormat="1" applyFont="1" applyBorder="1" applyAlignment="1">
      <alignment horizontal="center"/>
    </xf>
    <xf numFmtId="10" fontId="0" fillId="0" borderId="8" xfId="3" applyNumberFormat="1" applyFont="1" applyBorder="1" applyAlignment="1">
      <alignment horizontal="center"/>
    </xf>
    <xf numFmtId="10" fontId="0" fillId="0" borderId="11" xfId="3" applyNumberFormat="1" applyFont="1" applyBorder="1" applyAlignment="1">
      <alignment horizontal="center"/>
    </xf>
    <xf numFmtId="10" fontId="0" fillId="2" borderId="11" xfId="3" applyNumberFormat="1" applyFont="1" applyFill="1" applyBorder="1" applyAlignment="1">
      <alignment horizontal="center"/>
    </xf>
    <xf numFmtId="10" fontId="0" fillId="4" borderId="0" xfId="3" applyNumberFormat="1" applyFont="1" applyFill="1" applyBorder="1" applyAlignment="1">
      <alignment horizontal="center"/>
    </xf>
    <xf numFmtId="10" fontId="0" fillId="2" borderId="10" xfId="0" applyNumberFormat="1" applyFill="1" applyBorder="1"/>
    <xf numFmtId="10" fontId="0" fillId="2" borderId="7" xfId="0" applyNumberFormat="1" applyFill="1" applyBorder="1"/>
    <xf numFmtId="10" fontId="0" fillId="10" borderId="7" xfId="0" applyNumberFormat="1" applyFill="1" applyBorder="1"/>
    <xf numFmtId="10" fontId="0" fillId="10" borderId="3" xfId="0" applyNumberFormat="1" applyFill="1" applyBorder="1"/>
    <xf numFmtId="10" fontId="0" fillId="2" borderId="10" xfId="3" applyNumberFormat="1" applyFont="1" applyFill="1" applyBorder="1" applyAlignment="1">
      <alignment horizontal="center"/>
    </xf>
    <xf numFmtId="10" fontId="0" fillId="10" borderId="3" xfId="3" applyNumberFormat="1" applyFont="1" applyFill="1" applyBorder="1" applyAlignment="1">
      <alignment horizontal="center"/>
    </xf>
    <xf numFmtId="0" fontId="9" fillId="0" borderId="0" xfId="0" applyFont="1"/>
    <xf numFmtId="0" fontId="12" fillId="0" borderId="0" xfId="0" applyFont="1"/>
    <xf numFmtId="0" fontId="4" fillId="0" borderId="0" xfId="0" applyFont="1"/>
    <xf numFmtId="0" fontId="4" fillId="0" borderId="0" xfId="0" applyFont="1" applyAlignment="1">
      <alignment horizontal="right"/>
    </xf>
    <xf numFmtId="0" fontId="1" fillId="0" borderId="24" xfId="0" applyFont="1" applyBorder="1"/>
    <xf numFmtId="0" fontId="1" fillId="0" borderId="25" xfId="0" applyFont="1" applyBorder="1"/>
    <xf numFmtId="0" fontId="1" fillId="0" borderId="26" xfId="0" applyFont="1" applyBorder="1"/>
    <xf numFmtId="0" fontId="16" fillId="0" borderId="0" xfId="0" applyFont="1"/>
    <xf numFmtId="0" fontId="18" fillId="0" borderId="0" xfId="0" applyFont="1"/>
    <xf numFmtId="0" fontId="15" fillId="0" borderId="0" xfId="0" applyFont="1"/>
    <xf numFmtId="0" fontId="19" fillId="0" borderId="0" xfId="0" applyFont="1"/>
    <xf numFmtId="0" fontId="22" fillId="0" borderId="0" xfId="0" applyFont="1"/>
    <xf numFmtId="2" fontId="23" fillId="8" borderId="27" xfId="0" applyNumberFormat="1" applyFont="1" applyFill="1" applyBorder="1" applyAlignment="1">
      <alignment horizontal="center"/>
    </xf>
    <xf numFmtId="2" fontId="23" fillId="8" borderId="23" xfId="0" applyNumberFormat="1" applyFont="1" applyFill="1" applyBorder="1" applyAlignment="1">
      <alignment horizontal="center"/>
    </xf>
    <xf numFmtId="0" fontId="1" fillId="0" borderId="0" xfId="0" applyFont="1" applyAlignment="1">
      <alignment horizontal="center"/>
    </xf>
    <xf numFmtId="12" fontId="0" fillId="0" borderId="7" xfId="0" applyNumberFormat="1" applyBorder="1" applyAlignment="1">
      <alignment horizontal="center"/>
    </xf>
    <xf numFmtId="0" fontId="2" fillId="0" borderId="10" xfId="1" applyBorder="1"/>
    <xf numFmtId="0" fontId="2" fillId="0" borderId="7" xfId="1" applyBorder="1"/>
    <xf numFmtId="0" fontId="2" fillId="0" borderId="7" xfId="1" applyFill="1" applyBorder="1"/>
    <xf numFmtId="0" fontId="2" fillId="0" borderId="7" xfId="1" applyFill="1" applyBorder="1" applyAlignment="1">
      <alignment horizontal="center"/>
    </xf>
    <xf numFmtId="9" fontId="1" fillId="0" borderId="0" xfId="3" applyFont="1" applyAlignment="1">
      <alignment horizontal="center"/>
    </xf>
    <xf numFmtId="9" fontId="0" fillId="0" borderId="0" xfId="0" applyNumberFormat="1"/>
    <xf numFmtId="0" fontId="0" fillId="0" borderId="26" xfId="0" applyBorder="1" applyAlignment="1">
      <alignment horizontal="center"/>
    </xf>
    <xf numFmtId="0" fontId="2" fillId="0" borderId="27" xfId="0" applyFont="1" applyBorder="1" applyAlignment="1">
      <alignment horizontal="center"/>
    </xf>
    <xf numFmtId="0" fontId="2" fillId="0" borderId="23" xfId="0" applyFont="1" applyBorder="1" applyAlignment="1">
      <alignment horizontal="center"/>
    </xf>
    <xf numFmtId="0" fontId="0" fillId="0" borderId="4" xfId="0" applyBorder="1" applyAlignment="1">
      <alignment horizontal="center"/>
    </xf>
    <xf numFmtId="0" fontId="0" fillId="0" borderId="16" xfId="0" applyBorder="1" applyAlignment="1">
      <alignment horizontal="center"/>
    </xf>
    <xf numFmtId="0" fontId="0" fillId="0" borderId="28" xfId="0" applyBorder="1"/>
    <xf numFmtId="0" fontId="2" fillId="0" borderId="28" xfId="0" applyFont="1" applyFill="1" applyBorder="1" applyAlignment="1">
      <alignment horizontal="center"/>
    </xf>
    <xf numFmtId="0" fontId="2" fillId="0" borderId="17" xfId="0" applyFont="1" applyFill="1" applyBorder="1" applyAlignment="1">
      <alignment horizontal="center"/>
    </xf>
    <xf numFmtId="0" fontId="0" fillId="0" borderId="18" xfId="0" applyBorder="1"/>
    <xf numFmtId="0" fontId="0" fillId="0" borderId="29" xfId="0" applyBorder="1"/>
    <xf numFmtId="0" fontId="0" fillId="0" borderId="19" xfId="0" applyBorder="1"/>
    <xf numFmtId="0" fontId="0" fillId="0" borderId="0" xfId="0" applyFill="1" applyBorder="1" applyAlignment="1">
      <alignment horizontal="left" indent="6"/>
    </xf>
    <xf numFmtId="9" fontId="2" fillId="0" borderId="0" xfId="3" applyFont="1" applyFill="1" applyBorder="1" applyAlignment="1">
      <alignment horizontal="center"/>
    </xf>
    <xf numFmtId="9" fontId="0" fillId="0" borderId="0" xfId="0" applyNumberFormat="1" applyBorder="1"/>
    <xf numFmtId="12" fontId="0" fillId="0" borderId="0" xfId="0" applyNumberFormat="1" applyBorder="1" applyAlignment="1">
      <alignment horizontal="center"/>
    </xf>
    <xf numFmtId="0" fontId="0" fillId="6" borderId="10" xfId="0" applyFill="1" applyBorder="1" applyAlignment="1">
      <alignment horizontal="center"/>
    </xf>
    <xf numFmtId="0" fontId="0" fillId="6" borderId="8" xfId="0" applyFill="1" applyBorder="1" applyAlignment="1">
      <alignment horizontal="center"/>
    </xf>
    <xf numFmtId="0" fontId="2" fillId="6" borderId="4" xfId="0" applyFont="1" applyFill="1" applyBorder="1" applyAlignment="1">
      <alignment horizontal="left" indent="5"/>
    </xf>
    <xf numFmtId="0" fontId="0" fillId="6" borderId="5" xfId="0" applyFill="1" applyBorder="1" applyAlignment="1">
      <alignment horizontal="left" indent="1"/>
    </xf>
    <xf numFmtId="0" fontId="0" fillId="6" borderId="6" xfId="0" applyFill="1" applyBorder="1" applyAlignment="1">
      <alignment horizontal="left"/>
    </xf>
    <xf numFmtId="0" fontId="2" fillId="6" borderId="9" xfId="0" applyFont="1" applyFill="1" applyBorder="1" applyAlignment="1">
      <alignment horizontal="center"/>
    </xf>
    <xf numFmtId="0" fontId="0" fillId="6" borderId="3" xfId="0" applyFill="1" applyBorder="1" applyAlignment="1">
      <alignment horizontal="center"/>
    </xf>
    <xf numFmtId="0" fontId="2" fillId="6" borderId="3" xfId="0" applyFont="1" applyFill="1" applyBorder="1" applyAlignment="1">
      <alignment horizontal="center"/>
    </xf>
    <xf numFmtId="0" fontId="2" fillId="6" borderId="7" xfId="0" applyFont="1" applyFill="1" applyBorder="1" applyAlignment="1">
      <alignment horizontal="center"/>
    </xf>
    <xf numFmtId="0" fontId="2" fillId="6" borderId="11" xfId="0" applyFont="1" applyFill="1" applyBorder="1" applyAlignment="1">
      <alignment horizontal="center"/>
    </xf>
    <xf numFmtId="0" fontId="2" fillId="6" borderId="2" xfId="0" applyFont="1" applyFill="1" applyBorder="1" applyAlignment="1">
      <alignment horizontal="center"/>
    </xf>
    <xf numFmtId="0" fontId="2" fillId="0" borderId="2" xfId="0" applyFont="1" applyFill="1" applyBorder="1" applyAlignment="1">
      <alignment horizontal="center"/>
    </xf>
    <xf numFmtId="164" fontId="2" fillId="0" borderId="2" xfId="2" applyNumberFormat="1" applyFont="1" applyFill="1" applyBorder="1" applyAlignment="1">
      <alignment horizontal="center"/>
    </xf>
    <xf numFmtId="2" fontId="2" fillId="0" borderId="2" xfId="0" applyNumberFormat="1" applyFont="1" applyFill="1" applyBorder="1" applyAlignment="1">
      <alignment horizontal="center"/>
    </xf>
    <xf numFmtId="2" fontId="0" fillId="8" borderId="0" xfId="0" applyNumberFormat="1" applyFill="1" applyAlignment="1">
      <alignment horizontal="center"/>
    </xf>
    <xf numFmtId="164" fontId="0" fillId="0" borderId="7" xfId="2" applyNumberFormat="1" applyFont="1" applyFill="1" applyBorder="1" applyAlignment="1">
      <alignment horizontal="center"/>
    </xf>
    <xf numFmtId="164" fontId="0" fillId="0" borderId="0" xfId="2" applyNumberFormat="1" applyFont="1" applyFill="1" applyAlignment="1">
      <alignment horizontal="center"/>
    </xf>
    <xf numFmtId="2" fontId="0" fillId="0" borderId="0" xfId="0" applyNumberFormat="1" applyAlignment="1">
      <alignment horizontal="center"/>
    </xf>
    <xf numFmtId="2" fontId="23" fillId="0" borderId="0" xfId="0" applyNumberFormat="1" applyFont="1" applyFill="1" applyBorder="1" applyAlignment="1">
      <alignment horizontal="center"/>
    </xf>
    <xf numFmtId="0" fontId="26" fillId="14" borderId="23" xfId="0" applyFont="1" applyFill="1" applyBorder="1" applyAlignment="1">
      <alignment horizontal="center"/>
    </xf>
    <xf numFmtId="0" fontId="2" fillId="14" borderId="23" xfId="0" applyFont="1" applyFill="1" applyBorder="1" applyAlignment="1">
      <alignment horizontal="center"/>
    </xf>
    <xf numFmtId="164" fontId="2" fillId="2" borderId="2" xfId="3" applyNumberFormat="1" applyFont="1" applyFill="1" applyBorder="1" applyAlignment="1">
      <alignment horizontal="center"/>
    </xf>
    <xf numFmtId="164" fontId="2" fillId="2" borderId="10" xfId="3" applyNumberFormat="1" applyFont="1" applyFill="1" applyBorder="1" applyAlignment="1">
      <alignment horizontal="center"/>
    </xf>
    <xf numFmtId="164" fontId="2" fillId="2" borderId="3" xfId="3" applyNumberFormat="1" applyFont="1" applyFill="1" applyBorder="1" applyAlignment="1">
      <alignment horizontal="center"/>
    </xf>
    <xf numFmtId="164" fontId="2" fillId="2" borderId="21" xfId="3" applyNumberFormat="1" applyFont="1" applyFill="1" applyBorder="1" applyAlignment="1">
      <alignment horizontal="center"/>
    </xf>
    <xf numFmtId="164" fontId="2" fillId="10" borderId="2" xfId="3" applyNumberFormat="1" applyFont="1" applyFill="1" applyBorder="1" applyAlignment="1">
      <alignment horizontal="center"/>
    </xf>
    <xf numFmtId="164" fontId="2" fillId="10" borderId="10" xfId="3" applyNumberFormat="1" applyFont="1" applyFill="1" applyBorder="1" applyAlignment="1">
      <alignment horizontal="center"/>
    </xf>
    <xf numFmtId="164" fontId="2" fillId="10" borderId="21" xfId="3" applyNumberFormat="1" applyFont="1" applyFill="1" applyBorder="1" applyAlignment="1">
      <alignment horizontal="center"/>
    </xf>
    <xf numFmtId="164" fontId="2" fillId="10" borderId="3" xfId="3" applyNumberFormat="1" applyFont="1" applyFill="1" applyBorder="1" applyAlignment="1">
      <alignment horizontal="center"/>
    </xf>
    <xf numFmtId="164" fontId="0" fillId="0" borderId="14" xfId="3" applyNumberFormat="1" applyFont="1" applyBorder="1" applyAlignment="1">
      <alignment horizontal="center"/>
    </xf>
    <xf numFmtId="164" fontId="0" fillId="0" borderId="13" xfId="3" applyNumberFormat="1" applyFont="1" applyBorder="1" applyAlignment="1">
      <alignment horizontal="center"/>
    </xf>
    <xf numFmtId="164" fontId="0" fillId="8" borderId="10" xfId="3" applyNumberFormat="1" applyFont="1" applyFill="1" applyBorder="1" applyAlignment="1">
      <alignment horizontal="center"/>
    </xf>
    <xf numFmtId="164" fontId="0" fillId="8" borderId="7" xfId="3" applyNumberFormat="1" applyFont="1" applyFill="1" applyBorder="1" applyAlignment="1">
      <alignment horizontal="center"/>
    </xf>
    <xf numFmtId="164" fontId="0" fillId="8" borderId="3" xfId="3" applyNumberFormat="1" applyFont="1" applyFill="1" applyBorder="1" applyAlignment="1">
      <alignment horizontal="center"/>
    </xf>
    <xf numFmtId="0" fontId="4" fillId="0" borderId="2" xfId="0" applyFont="1" applyBorder="1" applyAlignment="1">
      <alignment horizontal="center"/>
    </xf>
    <xf numFmtId="0" fontId="4" fillId="0" borderId="0" xfId="0" applyFont="1" applyBorder="1" applyAlignment="1">
      <alignment horizontal="center"/>
    </xf>
    <xf numFmtId="0" fontId="0" fillId="0" borderId="23" xfId="0" applyBorder="1" applyAlignment="1">
      <alignment horizontal="center"/>
    </xf>
    <xf numFmtId="0" fontId="0" fillId="0" borderId="30" xfId="0" applyBorder="1"/>
    <xf numFmtId="0" fontId="0" fillId="0" borderId="31" xfId="0" applyBorder="1"/>
    <xf numFmtId="0" fontId="0" fillId="0" borderId="23" xfId="0" applyBorder="1"/>
    <xf numFmtId="0" fontId="0" fillId="2" borderId="32" xfId="0" applyFill="1" applyBorder="1" applyAlignment="1">
      <alignment horizontal="center"/>
    </xf>
    <xf numFmtId="0" fontId="0" fillId="2" borderId="27" xfId="0" applyFill="1" applyBorder="1"/>
    <xf numFmtId="0" fontId="4" fillId="14" borderId="2" xfId="0" applyFont="1" applyFill="1" applyBorder="1" applyAlignment="1">
      <alignment horizontal="center"/>
    </xf>
    <xf numFmtId="0" fontId="0" fillId="14" borderId="2" xfId="0" applyFill="1" applyBorder="1" applyAlignment="1">
      <alignment horizontal="center"/>
    </xf>
    <xf numFmtId="0" fontId="29" fillId="0" borderId="0" xfId="0" applyFont="1" applyBorder="1"/>
    <xf numFmtId="0" fontId="10" fillId="0" borderId="0" xfId="0" applyFont="1" applyBorder="1"/>
    <xf numFmtId="0" fontId="31" fillId="11" borderId="0" xfId="0" applyFont="1" applyFill="1" applyBorder="1"/>
    <xf numFmtId="0" fontId="1" fillId="11" borderId="0" xfId="0" applyFont="1" applyFill="1" applyBorder="1"/>
    <xf numFmtId="0" fontId="25" fillId="0" borderId="0" xfId="0" applyFont="1" applyBorder="1"/>
    <xf numFmtId="0" fontId="11" fillId="0" borderId="0" xfId="0" applyFont="1" applyBorder="1" applyAlignment="1">
      <alignment horizontal="right"/>
    </xf>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10" fillId="0" borderId="36" xfId="0" applyFont="1" applyBorder="1"/>
    <xf numFmtId="0" fontId="0" fillId="0" borderId="37" xfId="0" applyBorder="1" applyAlignment="1">
      <alignment horizontal="center"/>
    </xf>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2" xfId="0" applyBorder="1" applyAlignment="1">
      <alignment horizontal="center"/>
    </xf>
    <xf numFmtId="0" fontId="0" fillId="0" borderId="43" xfId="0" applyBorder="1"/>
    <xf numFmtId="0" fontId="32" fillId="0" borderId="0" xfId="0" applyFont="1" applyBorder="1"/>
    <xf numFmtId="9" fontId="0" fillId="0" borderId="4" xfId="3" applyFont="1" applyBorder="1" applyAlignment="1">
      <alignment horizontal="center"/>
    </xf>
    <xf numFmtId="0" fontId="0" fillId="0" borderId="5" xfId="0" applyBorder="1" applyAlignment="1">
      <alignment horizontal="left" indent="1"/>
    </xf>
    <xf numFmtId="9" fontId="0" fillId="0" borderId="4" xfId="0" applyNumberFormat="1" applyBorder="1"/>
    <xf numFmtId="0" fontId="27" fillId="0" borderId="0" xfId="0" applyFont="1" applyFill="1" applyBorder="1"/>
    <xf numFmtId="0" fontId="24" fillId="0" borderId="0" xfId="0" applyFont="1" applyFill="1" applyBorder="1"/>
    <xf numFmtId="0" fontId="25" fillId="0" borderId="0" xfId="0" applyFont="1" applyFill="1" applyBorder="1"/>
    <xf numFmtId="0" fontId="11" fillId="0" borderId="0" xfId="0" applyFont="1" applyFill="1" applyBorder="1" applyAlignment="1">
      <alignment horizontal="right"/>
    </xf>
    <xf numFmtId="16" fontId="0" fillId="0" borderId="0" xfId="0" applyNumberFormat="1" applyFill="1" applyBorder="1" applyAlignment="1">
      <alignment horizontal="left" indent="4"/>
    </xf>
    <xf numFmtId="0" fontId="2" fillId="0" borderId="0" xfId="1" applyFont="1" applyFill="1" applyBorder="1" applyAlignment="1">
      <alignment horizontal="center" vertical="center" wrapText="1"/>
    </xf>
    <xf numFmtId="0" fontId="2" fillId="0" borderId="0" xfId="1" applyFont="1" applyFill="1" applyBorder="1" applyAlignment="1">
      <alignment horizontal="center" vertical="center"/>
    </xf>
    <xf numFmtId="0" fontId="4" fillId="0" borderId="0" xfId="0" applyFont="1" applyFill="1" applyBorder="1" applyAlignment="1">
      <alignment horizontal="center"/>
    </xf>
    <xf numFmtId="167" fontId="0" fillId="0" borderId="0" xfId="0" applyNumberFormat="1" applyFill="1" applyBorder="1"/>
    <xf numFmtId="0" fontId="1" fillId="0" borderId="0" xfId="0" applyFont="1" applyFill="1" applyBorder="1" applyAlignment="1">
      <alignment horizontal="center"/>
    </xf>
    <xf numFmtId="9" fontId="1" fillId="0" borderId="0" xfId="3" applyFont="1" applyFill="1" applyBorder="1" applyAlignment="1">
      <alignment horizontal="center"/>
    </xf>
    <xf numFmtId="0" fontId="0" fillId="0" borderId="0" xfId="0" applyFill="1" applyBorder="1" applyAlignment="1">
      <alignment horizontal="left" indent="1"/>
    </xf>
    <xf numFmtId="0" fontId="33" fillId="0" borderId="44" xfId="0" applyFont="1" applyBorder="1" applyAlignment="1">
      <alignment horizontal="center" vertical="center" wrapText="1"/>
    </xf>
    <xf numFmtId="0" fontId="33" fillId="0" borderId="23"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33" fillId="2" borderId="2" xfId="0" applyFont="1" applyFill="1" applyBorder="1" applyAlignment="1">
      <alignment horizontal="center" vertical="center" wrapText="1"/>
    </xf>
    <xf numFmtId="2" fontId="34" fillId="0" borderId="46" xfId="0" applyNumberFormat="1" applyFont="1" applyFill="1" applyBorder="1" applyAlignment="1">
      <alignment horizontal="center" vertical="center"/>
    </xf>
    <xf numFmtId="2" fontId="31" fillId="2" borderId="2" xfId="0" applyNumberFormat="1" applyFont="1" applyFill="1" applyBorder="1" applyAlignment="1">
      <alignment horizontal="center"/>
    </xf>
    <xf numFmtId="0" fontId="34" fillId="0" borderId="47" xfId="0" applyFont="1" applyBorder="1" applyAlignment="1">
      <alignment horizontal="center" vertical="center"/>
    </xf>
    <xf numFmtId="2" fontId="34" fillId="0" borderId="48" xfId="0" applyNumberFormat="1" applyFont="1" applyFill="1" applyBorder="1" applyAlignment="1">
      <alignment horizontal="center" vertical="center"/>
    </xf>
    <xf numFmtId="0" fontId="34" fillId="0" borderId="49" xfId="0" applyFont="1" applyBorder="1" applyAlignment="1">
      <alignment horizontal="center" vertical="center"/>
    </xf>
    <xf numFmtId="0" fontId="34" fillId="0" borderId="50" xfId="0" applyFont="1" applyBorder="1" applyAlignment="1">
      <alignment horizontal="center" vertical="center"/>
    </xf>
    <xf numFmtId="0" fontId="34" fillId="0" borderId="0" xfId="0" applyFont="1"/>
    <xf numFmtId="0" fontId="33" fillId="15" borderId="23" xfId="0" applyFont="1" applyFill="1" applyBorder="1" applyAlignment="1">
      <alignment horizontal="center" vertical="center" wrapText="1"/>
    </xf>
    <xf numFmtId="0" fontId="33" fillId="15" borderId="24"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33" fillId="0" borderId="45" xfId="0" applyFont="1" applyBorder="1" applyAlignment="1">
      <alignment horizontal="center" vertical="center" wrapText="1"/>
    </xf>
    <xf numFmtId="2" fontId="34" fillId="15" borderId="46" xfId="0" applyNumberFormat="1" applyFont="1" applyFill="1" applyBorder="1" applyAlignment="1">
      <alignment horizontal="center" vertical="center"/>
    </xf>
    <xf numFmtId="0" fontId="31" fillId="2" borderId="2" xfId="0" applyFont="1" applyFill="1" applyBorder="1" applyAlignment="1">
      <alignment horizontal="center"/>
    </xf>
    <xf numFmtId="2" fontId="34" fillId="15" borderId="48" xfId="0" applyNumberFormat="1" applyFont="1" applyFill="1" applyBorder="1" applyAlignment="1">
      <alignment horizontal="center" vertical="center"/>
    </xf>
    <xf numFmtId="0" fontId="34" fillId="0" borderId="51" xfId="0" applyFont="1" applyBorder="1" applyAlignment="1">
      <alignment horizontal="center" vertical="center"/>
    </xf>
    <xf numFmtId="2" fontId="34" fillId="15" borderId="52" xfId="0" applyNumberFormat="1" applyFont="1" applyFill="1" applyBorder="1" applyAlignment="1">
      <alignment horizontal="center" vertical="center"/>
    </xf>
    <xf numFmtId="2" fontId="1" fillId="2" borderId="2" xfId="0" applyNumberFormat="1" applyFont="1" applyFill="1" applyBorder="1" applyAlignment="1">
      <alignment horizontal="center"/>
    </xf>
    <xf numFmtId="2" fontId="0" fillId="0" borderId="0" xfId="0" applyNumberFormat="1" applyBorder="1"/>
    <xf numFmtId="10" fontId="0" fillId="0" borderId="0" xfId="3" applyNumberFormat="1" applyFont="1" applyFill="1" applyBorder="1"/>
    <xf numFmtId="2" fontId="0" fillId="0" borderId="0" xfId="0" applyNumberFormat="1" applyFont="1" applyFill="1" applyBorder="1" applyAlignment="1">
      <alignment horizontal="center"/>
    </xf>
    <xf numFmtId="164" fontId="0" fillId="0" borderId="0" xfId="0" applyNumberFormat="1" applyFill="1" applyBorder="1" applyAlignment="1">
      <alignment horizontal="center"/>
    </xf>
    <xf numFmtId="2" fontId="31" fillId="0" borderId="0" xfId="0" applyNumberFormat="1" applyFont="1" applyFill="1" applyBorder="1" applyAlignment="1">
      <alignment horizontal="center"/>
    </xf>
    <xf numFmtId="0" fontId="35" fillId="0" borderId="0" xfId="0" applyFont="1" applyFill="1" applyBorder="1"/>
    <xf numFmtId="0" fontId="36" fillId="0" borderId="0" xfId="0" applyFont="1"/>
    <xf numFmtId="0" fontId="37" fillId="0" borderId="56" xfId="0" applyFont="1" applyBorder="1" applyAlignment="1">
      <alignment horizontal="center" wrapText="1"/>
    </xf>
    <xf numFmtId="0" fontId="37" fillId="0" borderId="60" xfId="0" applyFont="1" applyBorder="1" applyAlignment="1">
      <alignment horizontal="center" wrapText="1"/>
    </xf>
    <xf numFmtId="0" fontId="37" fillId="0" borderId="53" xfId="0" applyFont="1" applyBorder="1"/>
    <xf numFmtId="0" fontId="36" fillId="0" borderId="0" xfId="0" applyFont="1" applyBorder="1"/>
    <xf numFmtId="0" fontId="37" fillId="0" borderId="54" xfId="0" applyFont="1" applyBorder="1"/>
    <xf numFmtId="0" fontId="37" fillId="0" borderId="0" xfId="0" applyFont="1" applyFill="1" applyBorder="1"/>
    <xf numFmtId="0" fontId="38" fillId="0" borderId="53" xfId="1" applyFont="1" applyFill="1" applyBorder="1" applyAlignment="1">
      <alignment horizontal="left" vertical="center" wrapText="1"/>
    </xf>
    <xf numFmtId="0" fontId="38" fillId="0" borderId="53" xfId="1" applyFont="1" applyFill="1" applyBorder="1" applyAlignment="1">
      <alignment horizontal="left" vertical="center"/>
    </xf>
    <xf numFmtId="0" fontId="36" fillId="0" borderId="54" xfId="0" applyFont="1" applyFill="1" applyBorder="1" applyAlignment="1">
      <alignment horizontal="left"/>
    </xf>
    <xf numFmtId="0" fontId="37" fillId="0" borderId="57" xfId="0" applyFont="1" applyBorder="1" applyAlignment="1">
      <alignment horizontal="center" wrapText="1"/>
    </xf>
    <xf numFmtId="0" fontId="35" fillId="0" borderId="0" xfId="0" applyFont="1"/>
    <xf numFmtId="0" fontId="36" fillId="0" borderId="0" xfId="0" applyFont="1" applyAlignment="1">
      <alignment horizontal="center"/>
    </xf>
    <xf numFmtId="0" fontId="36" fillId="0" borderId="0" xfId="0" applyFont="1" applyAlignment="1">
      <alignment horizontal="right"/>
    </xf>
    <xf numFmtId="9" fontId="36" fillId="0" borderId="0" xfId="3" applyFont="1"/>
    <xf numFmtId="1" fontId="36" fillId="0" borderId="0" xfId="0" applyNumberFormat="1" applyFont="1"/>
    <xf numFmtId="0" fontId="7" fillId="0" borderId="0" xfId="0" applyFont="1"/>
    <xf numFmtId="0" fontId="36" fillId="0" borderId="65" xfId="0" applyFont="1" applyBorder="1" applyAlignment="1">
      <alignment vertical="top"/>
    </xf>
    <xf numFmtId="0" fontId="40" fillId="0" borderId="0" xfId="0" applyFont="1"/>
    <xf numFmtId="0" fontId="37" fillId="0" borderId="56" xfId="0" applyFont="1" applyFill="1" applyBorder="1"/>
    <xf numFmtId="0" fontId="37" fillId="0" borderId="53" xfId="0" applyFont="1" applyFill="1" applyBorder="1"/>
    <xf numFmtId="0" fontId="37" fillId="0" borderId="54" xfId="0" applyFont="1" applyFill="1" applyBorder="1"/>
    <xf numFmtId="0" fontId="41" fillId="0" borderId="56" xfId="1" applyFont="1" applyFill="1" applyBorder="1" applyAlignment="1">
      <alignment horizontal="center" wrapText="1"/>
    </xf>
    <xf numFmtId="0" fontId="37" fillId="0" borderId="60" xfId="0" applyFont="1" applyFill="1" applyBorder="1" applyAlignment="1">
      <alignment horizontal="center" wrapText="1"/>
    </xf>
    <xf numFmtId="0" fontId="41" fillId="0" borderId="60" xfId="1" applyFont="1" applyFill="1" applyBorder="1" applyAlignment="1">
      <alignment horizontal="center" wrapText="1"/>
    </xf>
    <xf numFmtId="0" fontId="37" fillId="0" borderId="57" xfId="0" applyFont="1" applyFill="1" applyBorder="1" applyAlignment="1">
      <alignment horizontal="center" wrapText="1"/>
    </xf>
    <xf numFmtId="2" fontId="36" fillId="0" borderId="0" xfId="0" applyNumberFormat="1" applyFont="1" applyFill="1" applyBorder="1"/>
    <xf numFmtId="2" fontId="36" fillId="0" borderId="55" xfId="0" applyNumberFormat="1" applyFont="1" applyFill="1" applyBorder="1"/>
    <xf numFmtId="2" fontId="36" fillId="0" borderId="58" xfId="0" applyNumberFormat="1" applyFont="1" applyFill="1" applyBorder="1"/>
    <xf numFmtId="0" fontId="36" fillId="0" borderId="0" xfId="0" applyFont="1" applyFill="1"/>
    <xf numFmtId="168" fontId="36" fillId="0" borderId="0" xfId="0" applyNumberFormat="1" applyFont="1" applyFill="1"/>
    <xf numFmtId="0" fontId="36" fillId="0" borderId="0" xfId="0" applyFont="1" applyFill="1" applyAlignment="1">
      <alignment horizontal="center"/>
    </xf>
    <xf numFmtId="0" fontId="44" fillId="0" borderId="0" xfId="0" applyFont="1" applyFill="1" applyBorder="1" applyAlignment="1">
      <alignment horizontal="center"/>
    </xf>
    <xf numFmtId="0" fontId="43" fillId="0" borderId="0" xfId="0" applyFont="1" applyFill="1" applyBorder="1" applyAlignment="1">
      <alignment horizontal="center"/>
    </xf>
    <xf numFmtId="168" fontId="0" fillId="0" borderId="0" xfId="0" applyNumberFormat="1" applyFill="1" applyBorder="1" applyAlignment="1">
      <alignment horizontal="right" indent="1"/>
    </xf>
    <xf numFmtId="168" fontId="35" fillId="0" borderId="0" xfId="0" applyNumberFormat="1" applyFont="1"/>
    <xf numFmtId="9" fontId="36" fillId="0" borderId="2" xfId="3" applyFont="1" applyFill="1" applyBorder="1"/>
    <xf numFmtId="0" fontId="45" fillId="0" borderId="0" xfId="4"/>
    <xf numFmtId="0" fontId="45" fillId="0" borderId="0" xfId="4" applyAlignment="1">
      <alignment wrapText="1"/>
    </xf>
    <xf numFmtId="0" fontId="52" fillId="0" borderId="0" xfId="4" applyFont="1" applyAlignment="1">
      <alignment horizontal="center" wrapText="1"/>
    </xf>
    <xf numFmtId="0" fontId="34" fillId="0" borderId="0" xfId="4" applyFont="1"/>
    <xf numFmtId="0" fontId="50" fillId="0" borderId="0" xfId="4" applyFont="1" applyAlignment="1">
      <alignment horizontal="left" vertical="center" wrapText="1"/>
    </xf>
    <xf numFmtId="0" fontId="34" fillId="0" borderId="0" xfId="4" applyFont="1" applyAlignment="1">
      <alignment horizontal="left" vertical="center"/>
    </xf>
    <xf numFmtId="0" fontId="33" fillId="0" borderId="0" xfId="4" applyFont="1" applyAlignment="1">
      <alignment horizontal="left" vertical="center"/>
    </xf>
    <xf numFmtId="0" fontId="33" fillId="0" borderId="0" xfId="4" applyFont="1" applyAlignment="1">
      <alignment horizontal="left" vertical="center" wrapText="1"/>
    </xf>
    <xf numFmtId="0" fontId="34" fillId="0" borderId="0" xfId="4" applyFont="1" applyAlignment="1">
      <alignment horizontal="left" vertical="center" wrapText="1"/>
    </xf>
    <xf numFmtId="0" fontId="53" fillId="0" borderId="0" xfId="4" applyFont="1"/>
    <xf numFmtId="0" fontId="43" fillId="0" borderId="0" xfId="4" applyFont="1" applyProtection="1"/>
    <xf numFmtId="0" fontId="45" fillId="0" borderId="0" xfId="4" applyProtection="1"/>
    <xf numFmtId="0" fontId="43" fillId="0" borderId="0" xfId="4" applyFont="1" applyAlignment="1" applyProtection="1">
      <alignment horizontal="right"/>
    </xf>
    <xf numFmtId="0" fontId="45" fillId="16" borderId="0" xfId="4" applyFill="1" applyAlignment="1" applyProtection="1">
      <alignment horizontal="center"/>
      <protection locked="0"/>
    </xf>
    <xf numFmtId="0" fontId="45" fillId="16" borderId="15" xfId="4" applyFill="1" applyBorder="1" applyAlignment="1" applyProtection="1">
      <alignment horizontal="center"/>
      <protection locked="0"/>
    </xf>
    <xf numFmtId="0" fontId="45" fillId="0" borderId="0" xfId="4" applyBorder="1" applyProtection="1"/>
    <xf numFmtId="0" fontId="45" fillId="0" borderId="0" xfId="4" applyAlignment="1" applyProtection="1"/>
    <xf numFmtId="0" fontId="43" fillId="0" borderId="0" xfId="4" applyFont="1" applyAlignment="1" applyProtection="1">
      <alignment horizontal="centerContinuous"/>
    </xf>
    <xf numFmtId="0" fontId="45" fillId="0" borderId="0" xfId="4" applyAlignment="1" applyProtection="1">
      <alignment horizontal="centerContinuous"/>
    </xf>
    <xf numFmtId="0" fontId="45" fillId="0" borderId="0" xfId="4" applyBorder="1" applyAlignment="1" applyProtection="1">
      <alignment horizontal="center"/>
    </xf>
    <xf numFmtId="2" fontId="45" fillId="16" borderId="15" xfId="4" applyNumberFormat="1" applyFill="1" applyBorder="1" applyAlignment="1" applyProtection="1">
      <alignment horizontal="center"/>
      <protection locked="0"/>
    </xf>
    <xf numFmtId="0" fontId="45" fillId="0" borderId="0" xfId="4" applyAlignment="1" applyProtection="1">
      <alignment horizontal="center"/>
    </xf>
    <xf numFmtId="0" fontId="45" fillId="16" borderId="5" xfId="4" applyFill="1" applyBorder="1" applyAlignment="1" applyProtection="1">
      <alignment horizontal="center"/>
      <protection locked="0"/>
    </xf>
    <xf numFmtId="2" fontId="45" fillId="16" borderId="5" xfId="4" applyNumberFormat="1" applyFill="1" applyBorder="1" applyAlignment="1" applyProtection="1">
      <alignment horizontal="center"/>
      <protection locked="0"/>
    </xf>
    <xf numFmtId="168" fontId="45" fillId="16" borderId="5" xfId="4" applyNumberFormat="1" applyFill="1" applyBorder="1" applyAlignment="1" applyProtection="1">
      <alignment horizontal="center"/>
      <protection locked="0"/>
    </xf>
    <xf numFmtId="0" fontId="45" fillId="0" borderId="15" xfId="4" applyBorder="1" applyAlignment="1" applyProtection="1">
      <alignment horizontal="center"/>
    </xf>
    <xf numFmtId="0" fontId="45" fillId="0" borderId="0" xfId="4" applyFill="1" applyBorder="1" applyAlignment="1" applyProtection="1">
      <alignment horizontal="center"/>
    </xf>
    <xf numFmtId="0" fontId="54" fillId="0" borderId="0" xfId="4" applyFont="1" applyProtection="1"/>
    <xf numFmtId="2" fontId="45" fillId="0" borderId="15" xfId="4" applyNumberFormat="1" applyBorder="1" applyAlignment="1" applyProtection="1">
      <alignment horizontal="center"/>
    </xf>
    <xf numFmtId="2" fontId="45" fillId="0" borderId="5" xfId="4" applyNumberFormat="1" applyBorder="1" applyAlignment="1" applyProtection="1">
      <alignment horizontal="center"/>
    </xf>
    <xf numFmtId="2" fontId="45" fillId="0" borderId="0" xfId="4" applyNumberFormat="1" applyAlignment="1" applyProtection="1">
      <alignment horizontal="center"/>
    </xf>
    <xf numFmtId="0" fontId="45" fillId="0" borderId="0" xfId="4" applyAlignment="1" applyProtection="1">
      <alignment horizontal="left"/>
    </xf>
    <xf numFmtId="0" fontId="45" fillId="0" borderId="5" xfId="4" applyBorder="1" applyAlignment="1" applyProtection="1">
      <alignment horizontal="center"/>
    </xf>
    <xf numFmtId="0" fontId="60" fillId="0" borderId="0" xfId="4" applyFont="1" applyAlignment="1">
      <alignment horizontal="center" wrapText="1"/>
    </xf>
    <xf numFmtId="0" fontId="55" fillId="0" borderId="0" xfId="4" applyFont="1" applyAlignment="1">
      <alignment horizontal="center" wrapText="1"/>
    </xf>
    <xf numFmtId="0" fontId="33" fillId="0" borderId="0" xfId="4" applyFont="1"/>
    <xf numFmtId="0" fontId="34" fillId="0" borderId="0" xfId="4" applyFont="1" applyAlignment="1" applyProtection="1">
      <alignment horizontal="left"/>
    </xf>
    <xf numFmtId="0" fontId="33" fillId="0" borderId="0" xfId="4" applyFont="1" applyAlignment="1">
      <alignment horizontal="center"/>
    </xf>
    <xf numFmtId="0" fontId="34" fillId="0" borderId="0" xfId="4" applyFont="1" applyAlignment="1">
      <alignment horizontal="left"/>
    </xf>
    <xf numFmtId="0" fontId="33" fillId="0" borderId="0" xfId="4" applyFont="1" applyBorder="1" applyAlignment="1">
      <alignment horizontal="left"/>
    </xf>
    <xf numFmtId="0" fontId="34" fillId="0" borderId="0" xfId="4" applyFont="1" applyBorder="1" applyAlignment="1">
      <alignment horizontal="left" wrapText="1"/>
    </xf>
    <xf numFmtId="0" fontId="33" fillId="0" borderId="2" xfId="4" applyFont="1" applyBorder="1" applyAlignment="1">
      <alignment horizontal="center" vertical="center" wrapText="1"/>
    </xf>
    <xf numFmtId="0" fontId="58" fillId="0" borderId="2" xfId="4" applyFont="1" applyFill="1" applyBorder="1" applyAlignment="1">
      <alignment horizontal="center" vertical="center"/>
    </xf>
    <xf numFmtId="12" fontId="58" fillId="0" borderId="2" xfId="4" applyNumberFormat="1" applyFont="1" applyFill="1" applyBorder="1" applyAlignment="1">
      <alignment horizontal="center" vertical="center"/>
    </xf>
    <xf numFmtId="6" fontId="58" fillId="0" borderId="6" xfId="4" applyNumberFormat="1" applyFont="1" applyFill="1" applyBorder="1" applyAlignment="1">
      <alignment horizontal="center" vertical="center"/>
    </xf>
    <xf numFmtId="6" fontId="58" fillId="0" borderId="2" xfId="4" applyNumberFormat="1" applyFont="1" applyFill="1" applyBorder="1" applyAlignment="1">
      <alignment horizontal="center" vertical="center"/>
    </xf>
    <xf numFmtId="0" fontId="58" fillId="0" borderId="6" xfId="4" applyFont="1" applyFill="1" applyBorder="1" applyAlignment="1">
      <alignment horizontal="center" vertical="center"/>
    </xf>
    <xf numFmtId="0" fontId="45" fillId="0" borderId="0" xfId="4" applyFill="1"/>
    <xf numFmtId="1" fontId="61" fillId="8" borderId="2" xfId="4" applyNumberFormat="1" applyFont="1" applyFill="1" applyBorder="1" applyAlignment="1" applyProtection="1">
      <alignment horizontal="center"/>
      <protection locked="0"/>
    </xf>
    <xf numFmtId="168" fontId="61" fillId="8" borderId="2" xfId="4" applyNumberFormat="1" applyFont="1" applyFill="1" applyBorder="1" applyAlignment="1" applyProtection="1">
      <alignment horizontal="center"/>
      <protection locked="0"/>
    </xf>
    <xf numFmtId="168" fontId="62" fillId="0" borderId="0" xfId="4" applyNumberFormat="1" applyFont="1" applyFill="1" applyBorder="1" applyAlignment="1">
      <alignment horizontal="center"/>
    </xf>
    <xf numFmtId="0" fontId="61" fillId="8" borderId="2" xfId="4" applyFont="1" applyFill="1" applyBorder="1" applyAlignment="1" applyProtection="1">
      <alignment horizontal="center"/>
      <protection locked="0"/>
    </xf>
    <xf numFmtId="0" fontId="63" fillId="8" borderId="2" xfId="4" applyFont="1" applyFill="1" applyBorder="1" applyAlignment="1" applyProtection="1">
      <alignment horizontal="center"/>
      <protection locked="0"/>
    </xf>
    <xf numFmtId="168" fontId="63" fillId="8" borderId="2" xfId="4" applyNumberFormat="1" applyFont="1" applyFill="1" applyBorder="1" applyAlignment="1" applyProtection="1">
      <alignment horizontal="center"/>
      <protection locked="0"/>
    </xf>
    <xf numFmtId="0" fontId="62" fillId="8" borderId="2" xfId="4" applyFont="1" applyFill="1" applyBorder="1" applyAlignment="1" applyProtection="1">
      <alignment horizontal="center"/>
      <protection locked="0"/>
    </xf>
    <xf numFmtId="168" fontId="62" fillId="8" borderId="2" xfId="4" applyNumberFormat="1" applyFont="1" applyFill="1" applyBorder="1" applyAlignment="1" applyProtection="1">
      <alignment horizontal="center"/>
      <protection locked="0"/>
    </xf>
    <xf numFmtId="166" fontId="64" fillId="0" borderId="0" xfId="4" applyNumberFormat="1" applyFont="1" applyFill="1" applyBorder="1" applyAlignment="1">
      <alignment horizontal="center"/>
    </xf>
    <xf numFmtId="0" fontId="65" fillId="8" borderId="2" xfId="4" applyFont="1" applyFill="1" applyBorder="1" applyAlignment="1" applyProtection="1">
      <alignment horizontal="center"/>
      <protection locked="0"/>
    </xf>
    <xf numFmtId="168" fontId="65" fillId="8" borderId="2" xfId="4" applyNumberFormat="1" applyFont="1" applyFill="1" applyBorder="1" applyAlignment="1" applyProtection="1">
      <alignment horizontal="center"/>
      <protection locked="0"/>
    </xf>
    <xf numFmtId="0" fontId="33" fillId="0" borderId="27" xfId="4" applyFont="1" applyBorder="1" applyAlignment="1">
      <alignment horizontal="center" vertical="center"/>
    </xf>
    <xf numFmtId="0" fontId="34" fillId="0" borderId="26" xfId="4" applyFont="1" applyFill="1" applyBorder="1" applyAlignment="1">
      <alignment horizontal="center"/>
    </xf>
    <xf numFmtId="168" fontId="34" fillId="0" borderId="26" xfId="4" applyNumberFormat="1" applyFont="1" applyFill="1" applyBorder="1" applyAlignment="1">
      <alignment horizontal="center"/>
    </xf>
    <xf numFmtId="168" fontId="34" fillId="0" borderId="23" xfId="4" applyNumberFormat="1" applyFont="1" applyFill="1" applyBorder="1" applyAlignment="1">
      <alignment horizontal="center"/>
    </xf>
    <xf numFmtId="0" fontId="34" fillId="0" borderId="0" xfId="4" applyFont="1" applyFill="1"/>
    <xf numFmtId="0" fontId="34" fillId="0" borderId="26" xfId="4" applyFont="1" applyBorder="1" applyAlignment="1">
      <alignment horizontal="center"/>
    </xf>
    <xf numFmtId="168" fontId="62" fillId="0" borderId="2" xfId="4" applyNumberFormat="1" applyFont="1" applyFill="1" applyBorder="1" applyAlignment="1">
      <alignment horizontal="center" vertical="center" wrapText="1"/>
    </xf>
    <xf numFmtId="168" fontId="62" fillId="0" borderId="0" xfId="4" applyNumberFormat="1" applyFont="1"/>
    <xf numFmtId="0" fontId="62" fillId="0" borderId="0" xfId="4" applyFont="1"/>
    <xf numFmtId="168" fontId="62" fillId="0" borderId="67" xfId="4" applyNumberFormat="1" applyFont="1" applyFill="1" applyBorder="1" applyAlignment="1">
      <alignment horizontal="center" vertical="center" wrapText="1"/>
    </xf>
    <xf numFmtId="168" fontId="67" fillId="0" borderId="0" xfId="4" applyNumberFormat="1" applyFont="1"/>
    <xf numFmtId="0" fontId="33" fillId="17" borderId="68" xfId="4" applyFont="1" applyFill="1" applyBorder="1" applyAlignment="1">
      <alignment horizontal="center" vertical="center" wrapText="1"/>
    </xf>
    <xf numFmtId="0" fontId="33" fillId="17" borderId="68" xfId="4" applyFont="1" applyFill="1" applyBorder="1" applyAlignment="1">
      <alignment horizontal="center" vertical="center"/>
    </xf>
    <xf numFmtId="6" fontId="33" fillId="17" borderId="68" xfId="4" applyNumberFormat="1" applyFont="1" applyFill="1" applyBorder="1" applyAlignment="1">
      <alignment horizontal="center" vertical="center"/>
    </xf>
    <xf numFmtId="0" fontId="70" fillId="13" borderId="68" xfId="4" applyFont="1" applyFill="1" applyBorder="1" applyAlignment="1">
      <alignment horizontal="center" vertical="center"/>
    </xf>
    <xf numFmtId="0" fontId="34" fillId="0" borderId="0" xfId="4" applyFont="1" applyBorder="1" applyAlignment="1">
      <alignment horizontal="center"/>
    </xf>
    <xf numFmtId="0" fontId="34" fillId="0" borderId="0" xfId="4" applyFont="1" applyBorder="1" applyAlignment="1">
      <alignment horizontal="left"/>
    </xf>
    <xf numFmtId="0" fontId="71" fillId="0" borderId="0" xfId="4" applyFont="1" applyBorder="1"/>
    <xf numFmtId="168" fontId="71" fillId="0" borderId="0" xfId="4" applyNumberFormat="1" applyFont="1" applyBorder="1"/>
    <xf numFmtId="168" fontId="72" fillId="0" borderId="0" xfId="4" applyNumberFormat="1" applyFont="1" applyFill="1" applyBorder="1" applyAlignment="1">
      <alignment horizontal="center"/>
    </xf>
    <xf numFmtId="0" fontId="71" fillId="0" borderId="0" xfId="4" applyFont="1" applyBorder="1" applyAlignment="1">
      <alignment wrapText="1"/>
    </xf>
    <xf numFmtId="1" fontId="72" fillId="0" borderId="0" xfId="4" applyNumberFormat="1" applyFont="1" applyFill="1" applyBorder="1" applyAlignment="1">
      <alignment horizontal="center"/>
    </xf>
    <xf numFmtId="0" fontId="34" fillId="0" borderId="0" xfId="4" applyFont="1" applyBorder="1"/>
    <xf numFmtId="0" fontId="34" fillId="0" borderId="0" xfId="4" applyFont="1" applyAlignment="1">
      <alignment horizontal="center"/>
    </xf>
    <xf numFmtId="0" fontId="63" fillId="0" borderId="0" xfId="4" applyFont="1"/>
    <xf numFmtId="0" fontId="45" fillId="0" borderId="0" xfId="4" applyAlignment="1"/>
    <xf numFmtId="0" fontId="45" fillId="0" borderId="0" xfId="4" applyFont="1" applyBorder="1"/>
    <xf numFmtId="0" fontId="43" fillId="0" borderId="0" xfId="4" applyFont="1" applyBorder="1" applyAlignment="1">
      <alignment horizontal="center"/>
    </xf>
    <xf numFmtId="16" fontId="43" fillId="0" borderId="0" xfId="4" applyNumberFormat="1" applyFont="1" applyBorder="1" applyAlignment="1">
      <alignment horizontal="center"/>
    </xf>
    <xf numFmtId="0" fontId="43" fillId="0" borderId="0" xfId="4" applyFont="1" applyFill="1" applyBorder="1" applyAlignment="1">
      <alignment horizontal="center"/>
    </xf>
    <xf numFmtId="0" fontId="73" fillId="0" borderId="0" xfId="4" applyFont="1" applyFill="1" applyBorder="1" applyAlignment="1">
      <alignment horizontal="left"/>
    </xf>
    <xf numFmtId="2" fontId="45" fillId="0" borderId="0" xfId="4" applyNumberFormat="1" applyBorder="1" applyAlignment="1">
      <alignment horizontal="center"/>
    </xf>
    <xf numFmtId="2" fontId="45" fillId="0" borderId="0" xfId="4" applyNumberFormat="1" applyFill="1" applyBorder="1" applyAlignment="1">
      <alignment horizontal="center"/>
    </xf>
    <xf numFmtId="0" fontId="45" fillId="0" borderId="0" xfId="4" applyBorder="1"/>
    <xf numFmtId="0" fontId="45" fillId="0" borderId="0" xfId="4" applyBorder="1" applyAlignment="1">
      <alignment horizontal="center"/>
    </xf>
    <xf numFmtId="0" fontId="74" fillId="0" borderId="68" xfId="4" applyFont="1" applyBorder="1" applyAlignment="1">
      <alignment horizontal="center"/>
    </xf>
    <xf numFmtId="12" fontId="45" fillId="0" borderId="68" xfId="4" applyNumberFormat="1" applyFont="1" applyBorder="1" applyAlignment="1">
      <alignment horizontal="center"/>
    </xf>
    <xf numFmtId="12" fontId="45" fillId="0" borderId="68" xfId="4" applyNumberFormat="1" applyFont="1" applyFill="1" applyBorder="1" applyAlignment="1">
      <alignment horizontal="center"/>
    </xf>
    <xf numFmtId="12" fontId="45" fillId="0" borderId="68" xfId="4" applyNumberFormat="1" applyBorder="1" applyAlignment="1">
      <alignment horizontal="center"/>
    </xf>
    <xf numFmtId="0" fontId="43" fillId="0" borderId="32" xfId="4" applyFont="1" applyBorder="1"/>
    <xf numFmtId="0" fontId="43" fillId="0" borderId="24" xfId="4" applyFont="1" applyBorder="1" applyAlignment="1">
      <alignment horizontal="center"/>
    </xf>
    <xf numFmtId="16" fontId="43" fillId="0" borderId="25" xfId="4" applyNumberFormat="1" applyFont="1" applyBorder="1" applyAlignment="1">
      <alignment horizontal="center"/>
    </xf>
    <xf numFmtId="0" fontId="43" fillId="0" borderId="23" xfId="4" applyFont="1" applyBorder="1" applyAlignment="1">
      <alignment horizontal="center"/>
    </xf>
    <xf numFmtId="0" fontId="43" fillId="0" borderId="25" xfId="4" applyFont="1" applyBorder="1" applyAlignment="1">
      <alignment horizontal="center"/>
    </xf>
    <xf numFmtId="0" fontId="43" fillId="0" borderId="25" xfId="4" applyFont="1" applyFill="1" applyBorder="1" applyAlignment="1">
      <alignment horizontal="center"/>
    </xf>
    <xf numFmtId="0" fontId="43" fillId="0" borderId="26" xfId="4" applyFont="1" applyFill="1" applyBorder="1" applyAlignment="1">
      <alignment horizontal="center"/>
    </xf>
    <xf numFmtId="0" fontId="45" fillId="0" borderId="72" xfId="4" applyFont="1" applyBorder="1" applyAlignment="1">
      <alignment wrapText="1"/>
    </xf>
    <xf numFmtId="0" fontId="45" fillId="0" borderId="23" xfId="4" applyFont="1" applyBorder="1" applyAlignment="1">
      <alignment horizontal="center"/>
    </xf>
    <xf numFmtId="0" fontId="45" fillId="0" borderId="24" xfId="4" applyFont="1" applyBorder="1" applyAlignment="1">
      <alignment horizontal="center"/>
    </xf>
    <xf numFmtId="0" fontId="45" fillId="0" borderId="25" xfId="4" applyFont="1" applyBorder="1" applyAlignment="1">
      <alignment horizontal="center"/>
    </xf>
    <xf numFmtId="0" fontId="45" fillId="0" borderId="23" xfId="4" applyFont="1" applyFill="1" applyBorder="1" applyAlignment="1">
      <alignment horizontal="center"/>
    </xf>
    <xf numFmtId="0" fontId="45" fillId="0" borderId="27" xfId="4" applyFont="1" applyBorder="1" applyAlignment="1">
      <alignment wrapText="1"/>
    </xf>
    <xf numFmtId="0" fontId="45" fillId="0" borderId="72" xfId="4" applyFont="1" applyBorder="1" applyAlignment="1">
      <alignment horizontal="center"/>
    </xf>
    <xf numFmtId="0" fontId="45" fillId="0" borderId="65" xfId="4" applyFont="1" applyBorder="1" applyAlignment="1">
      <alignment horizontal="center"/>
    </xf>
    <xf numFmtId="0" fontId="45" fillId="0" borderId="0" xfId="4" applyFont="1" applyBorder="1" applyAlignment="1">
      <alignment horizontal="center"/>
    </xf>
    <xf numFmtId="0" fontId="45" fillId="0" borderId="72" xfId="4" applyFont="1" applyFill="1" applyBorder="1" applyAlignment="1">
      <alignment horizontal="center"/>
    </xf>
    <xf numFmtId="0" fontId="43" fillId="9" borderId="23" xfId="4" applyFont="1" applyFill="1" applyBorder="1"/>
    <xf numFmtId="1" fontId="45" fillId="9" borderId="20" xfId="4" applyNumberFormat="1" applyFill="1" applyBorder="1" applyAlignment="1">
      <alignment horizontal="center"/>
    </xf>
    <xf numFmtId="1" fontId="45" fillId="9" borderId="73" xfId="4" applyNumberFormat="1" applyFill="1" applyBorder="1" applyAlignment="1">
      <alignment horizontal="center"/>
    </xf>
    <xf numFmtId="1" fontId="45" fillId="9" borderId="23" xfId="4" applyNumberFormat="1" applyFill="1" applyBorder="1" applyAlignment="1">
      <alignment horizontal="center"/>
    </xf>
    <xf numFmtId="1" fontId="45" fillId="9" borderId="74" xfId="4" applyNumberFormat="1" applyFill="1" applyBorder="1" applyAlignment="1">
      <alignment horizontal="center"/>
    </xf>
    <xf numFmtId="1" fontId="45" fillId="9" borderId="21" xfId="4" applyNumberFormat="1" applyFill="1" applyBorder="1" applyAlignment="1">
      <alignment horizontal="center"/>
    </xf>
    <xf numFmtId="1" fontId="45" fillId="9" borderId="22" xfId="4" applyNumberFormat="1" applyFill="1" applyBorder="1" applyAlignment="1">
      <alignment horizontal="center"/>
    </xf>
    <xf numFmtId="0" fontId="62" fillId="3" borderId="0" xfId="4" applyFont="1" applyFill="1" applyBorder="1" applyAlignment="1">
      <alignment horizontal="left"/>
    </xf>
    <xf numFmtId="0" fontId="45" fillId="3" borderId="0" xfId="4" applyFont="1" applyFill="1" applyBorder="1" applyAlignment="1">
      <alignment horizontal="left"/>
    </xf>
    <xf numFmtId="0" fontId="62" fillId="0" borderId="0" xfId="4" applyFont="1" applyBorder="1" applyAlignment="1">
      <alignment horizontal="center"/>
    </xf>
    <xf numFmtId="6" fontId="62" fillId="0" borderId="0" xfId="4" applyNumberFormat="1" applyFont="1" applyBorder="1" applyAlignment="1">
      <alignment horizontal="center"/>
    </xf>
    <xf numFmtId="10" fontId="0" fillId="0" borderId="0" xfId="3" applyNumberFormat="1" applyFont="1" applyFill="1" applyBorder="1" applyProtection="1">
      <protection hidden="1"/>
    </xf>
    <xf numFmtId="0" fontId="38" fillId="0" borderId="53" xfId="1" applyFont="1" applyFill="1" applyBorder="1" applyAlignment="1" applyProtection="1">
      <alignment horizontal="left" vertical="center" wrapText="1"/>
      <protection hidden="1"/>
    </xf>
    <xf numFmtId="10" fontId="36" fillId="0" borderId="2" xfId="0" applyNumberFormat="1" applyFont="1" applyFill="1" applyBorder="1" applyProtection="1">
      <protection hidden="1"/>
    </xf>
    <xf numFmtId="10" fontId="36" fillId="0" borderId="55" xfId="0" applyNumberFormat="1" applyFont="1" applyFill="1" applyBorder="1" applyProtection="1">
      <protection hidden="1"/>
    </xf>
    <xf numFmtId="0" fontId="37" fillId="0" borderId="0" xfId="0" applyFont="1" applyAlignment="1" applyProtection="1">
      <alignment horizontal="center"/>
      <protection hidden="1"/>
    </xf>
    <xf numFmtId="0" fontId="38" fillId="0" borderId="53" xfId="1" applyFont="1" applyFill="1" applyBorder="1" applyAlignment="1" applyProtection="1">
      <alignment horizontal="left" vertical="center"/>
      <protection hidden="1"/>
    </xf>
    <xf numFmtId="0" fontId="38" fillId="0" borderId="54" xfId="1" applyFont="1" applyFill="1" applyBorder="1" applyAlignment="1" applyProtection="1">
      <alignment horizontal="left" vertical="center"/>
      <protection hidden="1"/>
    </xf>
    <xf numFmtId="10" fontId="36" fillId="0" borderId="59" xfId="0" applyNumberFormat="1" applyFont="1" applyFill="1" applyBorder="1" applyProtection="1">
      <protection hidden="1"/>
    </xf>
    <xf numFmtId="10" fontId="36" fillId="0" borderId="58" xfId="0" applyNumberFormat="1" applyFont="1" applyFill="1" applyBorder="1" applyProtection="1">
      <protection hidden="1"/>
    </xf>
    <xf numFmtId="0" fontId="36" fillId="0" borderId="0" xfId="0" applyFont="1" applyProtection="1">
      <protection hidden="1"/>
    </xf>
    <xf numFmtId="0" fontId="36" fillId="0" borderId="0" xfId="0" applyFont="1" applyAlignment="1" applyProtection="1">
      <alignment horizontal="right"/>
      <protection hidden="1"/>
    </xf>
    <xf numFmtId="10" fontId="36" fillId="0" borderId="3" xfId="0" applyNumberFormat="1" applyFont="1" applyFill="1" applyBorder="1" applyProtection="1">
      <protection hidden="1"/>
    </xf>
    <xf numFmtId="0" fontId="0" fillId="0" borderId="0" xfId="0" applyProtection="1">
      <protection hidden="1"/>
    </xf>
    <xf numFmtId="10" fontId="36" fillId="0" borderId="0" xfId="0" applyNumberFormat="1" applyFont="1" applyFill="1" applyBorder="1" applyProtection="1">
      <protection hidden="1"/>
    </xf>
    <xf numFmtId="10" fontId="37" fillId="0" borderId="2" xfId="3" applyNumberFormat="1" applyFont="1" applyFill="1" applyBorder="1" applyProtection="1">
      <protection hidden="1"/>
    </xf>
    <xf numFmtId="0" fontId="39" fillId="0" borderId="0" xfId="0" applyFont="1" applyProtection="1">
      <protection hidden="1"/>
    </xf>
    <xf numFmtId="0" fontId="36" fillId="0" borderId="57" xfId="0" applyFont="1" applyFill="1" applyBorder="1" applyProtection="1">
      <protection hidden="1"/>
    </xf>
    <xf numFmtId="0" fontId="40" fillId="0" borderId="0" xfId="0" applyFont="1" applyProtection="1">
      <protection hidden="1"/>
    </xf>
    <xf numFmtId="0" fontId="36" fillId="0" borderId="2" xfId="0" applyFont="1" applyBorder="1" applyProtection="1">
      <protection hidden="1"/>
    </xf>
    <xf numFmtId="9" fontId="36" fillId="0" borderId="2" xfId="3" applyFont="1" applyBorder="1" applyAlignment="1" applyProtection="1">
      <alignment horizontal="right"/>
      <protection hidden="1"/>
    </xf>
    <xf numFmtId="9" fontId="36" fillId="0" borderId="55" xfId="3" applyFont="1" applyFill="1" applyBorder="1" applyProtection="1">
      <protection hidden="1"/>
    </xf>
    <xf numFmtId="1" fontId="36" fillId="0" borderId="55" xfId="0" applyNumberFormat="1" applyFont="1" applyFill="1" applyBorder="1" applyProtection="1">
      <protection hidden="1"/>
    </xf>
    <xf numFmtId="0" fontId="40" fillId="0" borderId="55" xfId="0" applyFont="1" applyFill="1" applyBorder="1" applyProtection="1">
      <protection hidden="1"/>
    </xf>
    <xf numFmtId="9" fontId="36" fillId="0" borderId="19" xfId="3" applyFont="1" applyBorder="1" applyProtection="1">
      <protection hidden="1"/>
    </xf>
    <xf numFmtId="10" fontId="37" fillId="0" borderId="0" xfId="3" applyNumberFormat="1" applyFont="1" applyFill="1" applyBorder="1" applyProtection="1">
      <protection hidden="1"/>
    </xf>
    <xf numFmtId="0" fontId="36" fillId="0" borderId="0" xfId="0" applyFont="1" applyBorder="1" applyAlignment="1" applyProtection="1">
      <alignment horizontal="center"/>
      <protection hidden="1"/>
    </xf>
    <xf numFmtId="168" fontId="36" fillId="0" borderId="3" xfId="0" applyNumberFormat="1" applyFont="1" applyFill="1" applyBorder="1" applyProtection="1">
      <protection hidden="1"/>
    </xf>
    <xf numFmtId="0" fontId="36" fillId="0" borderId="0" xfId="0" applyFont="1" applyFill="1" applyBorder="1" applyAlignment="1" applyProtection="1">
      <alignment horizontal="left"/>
      <protection hidden="1"/>
    </xf>
    <xf numFmtId="2" fontId="36" fillId="0" borderId="3" xfId="0" applyNumberFormat="1" applyFont="1" applyFill="1" applyBorder="1" applyProtection="1">
      <protection hidden="1"/>
    </xf>
    <xf numFmtId="168" fontId="36" fillId="0" borderId="2" xfId="0" applyNumberFormat="1" applyFont="1" applyFill="1" applyBorder="1" applyProtection="1">
      <protection hidden="1"/>
    </xf>
    <xf numFmtId="0" fontId="36" fillId="0" borderId="0" xfId="0" applyFont="1" applyFill="1" applyAlignment="1" applyProtection="1">
      <alignment horizontal="left"/>
      <protection hidden="1"/>
    </xf>
    <xf numFmtId="0" fontId="36" fillId="0" borderId="0" xfId="0" applyFont="1" applyFill="1" applyProtection="1">
      <protection hidden="1"/>
    </xf>
    <xf numFmtId="0" fontId="37" fillId="0" borderId="0" xfId="0" applyFont="1" applyFill="1" applyBorder="1" applyProtection="1">
      <protection locked="0"/>
    </xf>
    <xf numFmtId="0" fontId="37" fillId="0" borderId="0" xfId="0" applyFont="1" applyBorder="1" applyProtection="1">
      <protection locked="0"/>
    </xf>
    <xf numFmtId="0" fontId="36" fillId="0" borderId="0" xfId="0" applyFont="1" applyProtection="1">
      <protection locked="0"/>
    </xf>
    <xf numFmtId="0" fontId="0" fillId="0" borderId="0" xfId="0" applyProtection="1">
      <protection locked="0"/>
    </xf>
    <xf numFmtId="0" fontId="36" fillId="0" borderId="0" xfId="0" applyFont="1" applyAlignment="1" applyProtection="1">
      <alignment horizontal="center"/>
      <protection locked="0"/>
    </xf>
    <xf numFmtId="0" fontId="36" fillId="0" borderId="56" xfId="0" applyFont="1" applyBorder="1" applyAlignment="1" applyProtection="1">
      <alignment horizontal="center"/>
      <protection locked="0" hidden="1"/>
    </xf>
    <xf numFmtId="0" fontId="36" fillId="0" borderId="53" xfId="0" applyFont="1" applyBorder="1" applyAlignment="1" applyProtection="1">
      <alignment vertical="top"/>
      <protection locked="0" hidden="1"/>
    </xf>
    <xf numFmtId="0" fontId="0" fillId="0" borderId="0" xfId="0" applyProtection="1">
      <protection locked="0" hidden="1"/>
    </xf>
    <xf numFmtId="0" fontId="36" fillId="0" borderId="53" xfId="0" applyFont="1" applyBorder="1" applyAlignment="1" applyProtection="1">
      <alignment horizontal="center"/>
      <protection locked="0" hidden="1"/>
    </xf>
    <xf numFmtId="0" fontId="36" fillId="0" borderId="66" xfId="0" applyFont="1" applyFill="1" applyBorder="1" applyAlignment="1" applyProtection="1">
      <alignment horizontal="center"/>
      <protection locked="0" hidden="1"/>
    </xf>
    <xf numFmtId="0" fontId="35" fillId="0" borderId="0" xfId="0" applyFont="1" applyFill="1" applyBorder="1" applyProtection="1">
      <protection locked="0"/>
    </xf>
    <xf numFmtId="0" fontId="39" fillId="0" borderId="0" xfId="0" applyFont="1" applyProtection="1">
      <protection locked="0"/>
    </xf>
    <xf numFmtId="0" fontId="36" fillId="0" borderId="0" xfId="0" applyFont="1" applyBorder="1" applyProtection="1">
      <protection locked="0"/>
    </xf>
    <xf numFmtId="0" fontId="36" fillId="2" borderId="3" xfId="0" applyFont="1" applyFill="1" applyBorder="1" applyAlignment="1" applyProtection="1">
      <alignment horizontal="right" wrapText="1"/>
      <protection locked="0"/>
    </xf>
    <xf numFmtId="1" fontId="36" fillId="2" borderId="2" xfId="0" applyNumberFormat="1" applyFont="1" applyFill="1" applyBorder="1" applyProtection="1">
      <protection locked="0"/>
    </xf>
    <xf numFmtId="2" fontId="36" fillId="2" borderId="2" xfId="0" applyNumberFormat="1" applyFont="1" applyFill="1" applyBorder="1" applyProtection="1">
      <protection locked="0"/>
    </xf>
    <xf numFmtId="0" fontId="36" fillId="2" borderId="2" xfId="0" applyFont="1" applyFill="1" applyBorder="1" applyProtection="1">
      <protection locked="0"/>
    </xf>
    <xf numFmtId="0" fontId="41" fillId="0" borderId="56" xfId="1" applyFont="1" applyFill="1" applyBorder="1" applyAlignment="1" applyProtection="1">
      <alignment horizontal="center" wrapText="1"/>
    </xf>
    <xf numFmtId="0" fontId="41" fillId="0" borderId="60" xfId="1" applyFont="1" applyFill="1" applyBorder="1" applyAlignment="1" applyProtection="1">
      <alignment horizontal="center" wrapText="1"/>
    </xf>
    <xf numFmtId="0" fontId="41" fillId="0" borderId="57" xfId="1" applyFont="1" applyFill="1" applyBorder="1" applyAlignment="1" applyProtection="1">
      <alignment horizontal="center" wrapText="1"/>
    </xf>
    <xf numFmtId="0" fontId="0" fillId="0" borderId="0" xfId="0" applyProtection="1"/>
    <xf numFmtId="10" fontId="36" fillId="3" borderId="59" xfId="0" applyNumberFormat="1" applyFont="1" applyFill="1" applyBorder="1"/>
    <xf numFmtId="0" fontId="36" fillId="3" borderId="59" xfId="0" applyFont="1" applyFill="1" applyBorder="1"/>
    <xf numFmtId="9" fontId="36" fillId="2" borderId="2" xfId="3" applyFont="1" applyFill="1" applyBorder="1" applyProtection="1">
      <protection locked="0"/>
    </xf>
    <xf numFmtId="9" fontId="36" fillId="2" borderId="2" xfId="3" applyNumberFormat="1" applyFont="1" applyFill="1" applyBorder="1" applyProtection="1">
      <protection locked="0"/>
    </xf>
    <xf numFmtId="9" fontId="36" fillId="2" borderId="2" xfId="3" applyNumberFormat="1" applyFont="1" applyFill="1" applyBorder="1" applyAlignment="1" applyProtection="1">
      <alignment horizontal="right"/>
      <protection locked="0"/>
    </xf>
    <xf numFmtId="9" fontId="36" fillId="2" borderId="55" xfId="3" applyFont="1" applyFill="1" applyBorder="1" applyProtection="1">
      <protection locked="0"/>
    </xf>
    <xf numFmtId="9" fontId="36" fillId="2" borderId="59" xfId="3" applyFont="1" applyFill="1" applyBorder="1" applyProtection="1">
      <protection locked="0"/>
    </xf>
    <xf numFmtId="9" fontId="36" fillId="2" borderId="59" xfId="3" applyNumberFormat="1" applyFont="1" applyFill="1" applyBorder="1" applyProtection="1">
      <protection locked="0"/>
    </xf>
    <xf numFmtId="9" fontId="36" fillId="2" borderId="59" xfId="3" applyNumberFormat="1" applyFont="1" applyFill="1" applyBorder="1" applyAlignment="1" applyProtection="1">
      <alignment horizontal="right"/>
      <protection locked="0"/>
    </xf>
    <xf numFmtId="9" fontId="36" fillId="2" borderId="58" xfId="3" applyFont="1" applyFill="1" applyBorder="1" applyProtection="1">
      <protection locked="0"/>
    </xf>
    <xf numFmtId="168" fontId="33" fillId="9" borderId="68" xfId="4" applyNumberFormat="1" applyFont="1" applyFill="1" applyBorder="1" applyAlignment="1">
      <alignment horizontal="center" vertical="center"/>
    </xf>
    <xf numFmtId="168" fontId="58" fillId="9" borderId="68" xfId="4" applyNumberFormat="1" applyFont="1" applyFill="1" applyBorder="1" applyAlignment="1">
      <alignment horizontal="center" vertical="center"/>
    </xf>
    <xf numFmtId="0" fontId="53" fillId="0" borderId="0" xfId="4" applyFont="1" applyAlignment="1">
      <alignment horizontal="left" vertical="center" wrapText="1"/>
    </xf>
    <xf numFmtId="0" fontId="50" fillId="0" borderId="0" xfId="4" applyFont="1" applyAlignment="1">
      <alignment horizontal="left" vertical="center" wrapText="1"/>
    </xf>
    <xf numFmtId="0" fontId="33" fillId="0" borderId="0" xfId="4" applyFont="1" applyAlignment="1">
      <alignment horizontal="left" vertical="center" wrapText="1"/>
    </xf>
    <xf numFmtId="0" fontId="34" fillId="0" borderId="0" xfId="4" applyFont="1" applyAlignment="1">
      <alignment horizontal="left" vertical="center" wrapText="1"/>
    </xf>
    <xf numFmtId="0" fontId="45" fillId="0" borderId="0" xfId="4" applyAlignment="1">
      <alignment horizontal="left" vertical="center" wrapText="1"/>
    </xf>
    <xf numFmtId="0" fontId="51" fillId="0" borderId="0" xfId="4" applyFont="1" applyAlignment="1">
      <alignment horizontal="center" wrapText="1"/>
    </xf>
    <xf numFmtId="0" fontId="33" fillId="0" borderId="0" xfId="4" applyFont="1" applyAlignment="1">
      <alignment wrapText="1"/>
    </xf>
    <xf numFmtId="0" fontId="34" fillId="0" borderId="4" xfId="4" applyFont="1" applyBorder="1" applyAlignment="1">
      <alignment horizontal="left" wrapText="1"/>
    </xf>
    <xf numFmtId="0" fontId="34" fillId="0" borderId="5" xfId="4" applyFont="1" applyBorder="1" applyAlignment="1">
      <alignment horizontal="left" wrapText="1"/>
    </xf>
    <xf numFmtId="0" fontId="34" fillId="0" borderId="6" xfId="4" applyFont="1" applyBorder="1" applyAlignment="1">
      <alignment horizontal="left" wrapText="1"/>
    </xf>
    <xf numFmtId="0" fontId="47" fillId="8" borderId="4" xfId="4" applyFont="1" applyFill="1" applyBorder="1" applyAlignment="1" applyProtection="1">
      <alignment horizontal="left" wrapText="1"/>
      <protection locked="0"/>
    </xf>
    <xf numFmtId="0" fontId="47" fillId="8" borderId="5" xfId="4" applyFont="1" applyFill="1" applyBorder="1" applyAlignment="1" applyProtection="1">
      <alignment horizontal="left" wrapText="1"/>
      <protection locked="0"/>
    </xf>
    <xf numFmtId="0" fontId="47" fillId="8" borderId="6" xfId="4" applyFont="1" applyFill="1" applyBorder="1" applyAlignment="1" applyProtection="1">
      <alignment horizontal="left" wrapText="1"/>
      <protection locked="0"/>
    </xf>
    <xf numFmtId="0" fontId="34" fillId="0" borderId="4" xfId="4" applyFont="1" applyFill="1" applyBorder="1" applyAlignment="1" applyProtection="1">
      <alignment horizontal="left" wrapText="1"/>
    </xf>
    <xf numFmtId="0" fontId="45" fillId="0" borderId="5" xfId="4" applyFill="1" applyBorder="1" applyAlignment="1" applyProtection="1">
      <alignment horizontal="left" wrapText="1"/>
    </xf>
    <xf numFmtId="0" fontId="47" fillId="8" borderId="4" xfId="4" applyFont="1" applyFill="1" applyBorder="1" applyAlignment="1" applyProtection="1">
      <alignment horizontal="center" wrapText="1"/>
      <protection locked="0"/>
    </xf>
    <xf numFmtId="0" fontId="47" fillId="8" borderId="5" xfId="4" applyFont="1" applyFill="1" applyBorder="1" applyAlignment="1" applyProtection="1">
      <alignment horizontal="center" wrapText="1"/>
      <protection locked="0"/>
    </xf>
    <xf numFmtId="0" fontId="47" fillId="8" borderId="6" xfId="4" applyFont="1" applyFill="1" applyBorder="1" applyAlignment="1" applyProtection="1">
      <alignment horizontal="center" wrapText="1"/>
      <protection locked="0"/>
    </xf>
    <xf numFmtId="0" fontId="34" fillId="0" borderId="5" xfId="4" applyFont="1" applyFill="1" applyBorder="1" applyAlignment="1" applyProtection="1">
      <alignment horizontal="left" wrapText="1"/>
    </xf>
    <xf numFmtId="0" fontId="47" fillId="0" borderId="5" xfId="4" applyFont="1" applyBorder="1" applyAlignment="1" applyProtection="1">
      <alignment horizontal="center" wrapText="1"/>
      <protection locked="0"/>
    </xf>
    <xf numFmtId="0" fontId="47" fillId="0" borderId="6" xfId="4" applyFont="1" applyBorder="1" applyAlignment="1" applyProtection="1">
      <alignment horizontal="center" wrapText="1"/>
      <protection locked="0"/>
    </xf>
    <xf numFmtId="0" fontId="46" fillId="0" borderId="4" xfId="4" applyFont="1" applyBorder="1" applyAlignment="1">
      <alignment horizontal="center" wrapText="1"/>
    </xf>
    <xf numFmtId="0" fontId="45" fillId="0" borderId="5" xfId="4" applyBorder="1" applyAlignment="1">
      <alignment horizontal="center" wrapText="1"/>
    </xf>
    <xf numFmtId="0" fontId="45" fillId="0" borderId="6" xfId="4" applyBorder="1" applyAlignment="1">
      <alignment horizontal="center" wrapText="1"/>
    </xf>
    <xf numFmtId="0" fontId="50" fillId="0" borderId="4" xfId="4" applyFont="1" applyBorder="1" applyAlignment="1">
      <alignment horizontal="left" wrapText="1"/>
    </xf>
    <xf numFmtId="0" fontId="50" fillId="0" borderId="5" xfId="4" applyFont="1" applyBorder="1" applyAlignment="1">
      <alignment horizontal="left" wrapText="1"/>
    </xf>
    <xf numFmtId="0" fontId="50" fillId="0" borderId="6" xfId="4" applyFont="1" applyBorder="1" applyAlignment="1">
      <alignment horizontal="left" wrapText="1"/>
    </xf>
    <xf numFmtId="0" fontId="45" fillId="0" borderId="5" xfId="4" applyBorder="1" applyAlignment="1">
      <alignment horizontal="left" wrapText="1"/>
    </xf>
    <xf numFmtId="0" fontId="45" fillId="0" borderId="6" xfId="4" applyBorder="1" applyAlignment="1">
      <alignment horizontal="left" wrapText="1"/>
    </xf>
    <xf numFmtId="0" fontId="49" fillId="8" borderId="4" xfId="5" applyFont="1" applyFill="1" applyBorder="1" applyAlignment="1" applyProtection="1">
      <alignment horizontal="left" wrapText="1"/>
      <protection locked="0"/>
    </xf>
    <xf numFmtId="14" fontId="47" fillId="8" borderId="4" xfId="4" applyNumberFormat="1" applyFont="1" applyFill="1" applyBorder="1" applyAlignment="1" applyProtection="1">
      <alignment horizontal="left" wrapText="1"/>
      <protection locked="0"/>
    </xf>
    <xf numFmtId="0" fontId="34" fillId="0" borderId="4" xfId="4" applyFont="1" applyBorder="1" applyAlignment="1">
      <alignment wrapText="1"/>
    </xf>
    <xf numFmtId="0" fontId="34" fillId="0" borderId="5" xfId="4" applyFont="1" applyBorder="1" applyAlignment="1">
      <alignment wrapText="1"/>
    </xf>
    <xf numFmtId="0" fontId="34" fillId="0" borderId="6" xfId="4" applyFont="1" applyBorder="1" applyAlignment="1">
      <alignment wrapText="1"/>
    </xf>
    <xf numFmtId="0" fontId="47" fillId="8" borderId="4" xfId="4" quotePrefix="1" applyNumberFormat="1" applyFont="1" applyFill="1" applyBorder="1" applyAlignment="1" applyProtection="1">
      <alignment horizontal="left" wrapText="1"/>
      <protection locked="0"/>
    </xf>
    <xf numFmtId="0" fontId="47" fillId="8" borderId="5" xfId="4" quotePrefix="1" applyNumberFormat="1" applyFont="1" applyFill="1" applyBorder="1" applyAlignment="1" applyProtection="1">
      <alignment horizontal="left" wrapText="1"/>
      <protection locked="0"/>
    </xf>
    <xf numFmtId="0" fontId="47" fillId="8" borderId="6" xfId="4" quotePrefix="1" applyNumberFormat="1" applyFont="1" applyFill="1" applyBorder="1" applyAlignment="1" applyProtection="1">
      <alignment horizontal="left" wrapText="1"/>
      <protection locked="0"/>
    </xf>
    <xf numFmtId="0" fontId="46" fillId="0" borderId="15" xfId="4" applyFont="1" applyBorder="1" applyAlignment="1">
      <alignment horizontal="center" vertical="center" wrapText="1"/>
    </xf>
    <xf numFmtId="0" fontId="45" fillId="0" borderId="5" xfId="4" applyBorder="1" applyAlignment="1">
      <alignment wrapText="1"/>
    </xf>
    <xf numFmtId="0" fontId="45" fillId="0" borderId="6" xfId="4" applyBorder="1" applyAlignment="1">
      <alignment wrapText="1"/>
    </xf>
    <xf numFmtId="0" fontId="54" fillId="16" borderId="0" xfId="4" applyFont="1" applyFill="1" applyAlignment="1" applyProtection="1">
      <alignment horizontal="center"/>
      <protection locked="0"/>
    </xf>
    <xf numFmtId="0" fontId="45" fillId="16" borderId="0" xfId="4" applyFill="1" applyAlignment="1" applyProtection="1">
      <alignment horizontal="center"/>
      <protection locked="0"/>
    </xf>
    <xf numFmtId="0" fontId="43" fillId="0" borderId="0" xfId="4" applyFont="1" applyAlignment="1" applyProtection="1">
      <alignment horizontal="center"/>
    </xf>
    <xf numFmtId="0" fontId="58" fillId="0" borderId="4" xfId="4" applyFont="1" applyBorder="1" applyAlignment="1">
      <alignment horizontal="left" vertical="center" wrapText="1"/>
    </xf>
    <xf numFmtId="0" fontId="59" fillId="0" borderId="5" xfId="4" applyFont="1" applyBorder="1" applyAlignment="1">
      <alignment horizontal="left" vertical="center" wrapText="1"/>
    </xf>
    <xf numFmtId="0" fontId="59" fillId="0" borderId="6" xfId="4" applyFont="1" applyBorder="1" applyAlignment="1">
      <alignment horizontal="left" vertical="center" wrapText="1"/>
    </xf>
    <xf numFmtId="0" fontId="57" fillId="0" borderId="4" xfId="4" applyFont="1" applyBorder="1" applyAlignment="1">
      <alignment horizontal="left" vertical="center" wrapText="1"/>
    </xf>
    <xf numFmtId="0" fontId="57" fillId="0" borderId="5" xfId="4" applyFont="1" applyBorder="1" applyAlignment="1">
      <alignment horizontal="left" vertical="center" wrapText="1"/>
    </xf>
    <xf numFmtId="0" fontId="57" fillId="0" borderId="6" xfId="4" applyFont="1" applyBorder="1" applyAlignment="1">
      <alignment horizontal="left" vertical="center" wrapText="1"/>
    </xf>
    <xf numFmtId="168" fontId="47" fillId="8" borderId="4" xfId="4" applyNumberFormat="1" applyFont="1" applyFill="1" applyBorder="1" applyAlignment="1" applyProtection="1">
      <alignment horizontal="left" vertical="center" wrapText="1"/>
      <protection locked="0"/>
    </xf>
    <xf numFmtId="168" fontId="47" fillId="8" borderId="5" xfId="4" applyNumberFormat="1" applyFont="1" applyFill="1" applyBorder="1" applyAlignment="1" applyProtection="1">
      <alignment horizontal="left" vertical="center" wrapText="1"/>
      <protection locked="0"/>
    </xf>
    <xf numFmtId="168" fontId="47" fillId="8" borderId="6" xfId="4" applyNumberFormat="1" applyFont="1" applyFill="1" applyBorder="1" applyAlignment="1" applyProtection="1">
      <alignment horizontal="left" vertical="center" wrapText="1"/>
      <protection locked="0"/>
    </xf>
    <xf numFmtId="0" fontId="47" fillId="8" borderId="4" xfId="4" applyFont="1" applyFill="1" applyBorder="1" applyAlignment="1" applyProtection="1">
      <alignment horizontal="left" vertical="center" wrapText="1"/>
      <protection locked="0"/>
    </xf>
    <xf numFmtId="0" fontId="47" fillId="8" borderId="5" xfId="4" applyFont="1" applyFill="1" applyBorder="1" applyAlignment="1" applyProtection="1">
      <alignment horizontal="left" vertical="center" wrapText="1"/>
      <protection locked="0"/>
    </xf>
    <xf numFmtId="0" fontId="47" fillId="8" borderId="6" xfId="4" applyFont="1" applyFill="1" applyBorder="1" applyAlignment="1" applyProtection="1">
      <alignment horizontal="left" vertical="center" wrapText="1"/>
      <protection locked="0"/>
    </xf>
    <xf numFmtId="0" fontId="34" fillId="0" borderId="4" xfId="4" applyFont="1" applyFill="1" applyBorder="1" applyAlignment="1" applyProtection="1">
      <alignment horizontal="center" vertical="center" wrapText="1"/>
    </xf>
    <xf numFmtId="0" fontId="34" fillId="0" borderId="6" xfId="4" applyFont="1" applyFill="1" applyBorder="1" applyAlignment="1" applyProtection="1">
      <alignment horizontal="center" vertical="center" wrapText="1"/>
    </xf>
    <xf numFmtId="0" fontId="34" fillId="8" borderId="4" xfId="4" applyFont="1" applyFill="1" applyBorder="1" applyAlignment="1" applyProtection="1">
      <alignment horizontal="center" vertical="center" wrapText="1"/>
      <protection locked="0"/>
    </xf>
    <xf numFmtId="0" fontId="34" fillId="8" borderId="5" xfId="4" applyFont="1" applyFill="1" applyBorder="1" applyAlignment="1" applyProtection="1">
      <alignment horizontal="center" vertical="center" wrapText="1"/>
      <protection locked="0"/>
    </xf>
    <xf numFmtId="0" fontId="34" fillId="8" borderId="6" xfId="4" applyFont="1" applyFill="1" applyBorder="1" applyAlignment="1" applyProtection="1">
      <alignment horizontal="center" vertical="center" wrapText="1"/>
      <protection locked="0"/>
    </xf>
    <xf numFmtId="0" fontId="56" fillId="0" borderId="4" xfId="4" applyFont="1" applyBorder="1" applyAlignment="1">
      <alignment horizontal="left" vertical="center" wrapText="1"/>
    </xf>
    <xf numFmtId="0" fontId="56" fillId="0" borderId="5" xfId="4" applyFont="1" applyBorder="1" applyAlignment="1">
      <alignment horizontal="left" vertical="center" wrapText="1"/>
    </xf>
    <xf numFmtId="0" fontId="56" fillId="0" borderId="6" xfId="4" applyFont="1" applyBorder="1" applyAlignment="1">
      <alignment horizontal="left" vertical="center" wrapText="1"/>
    </xf>
    <xf numFmtId="0" fontId="34" fillId="0" borderId="4" xfId="4" applyFont="1" applyBorder="1" applyAlignment="1">
      <alignment horizontal="left" vertical="center" wrapText="1"/>
    </xf>
    <xf numFmtId="0" fontId="34" fillId="0" borderId="5" xfId="4" applyFont="1" applyBorder="1" applyAlignment="1">
      <alignment horizontal="left" vertical="center" wrapText="1"/>
    </xf>
    <xf numFmtId="0" fontId="34" fillId="0" borderId="6" xfId="4" applyFont="1" applyBorder="1" applyAlignment="1">
      <alignment horizontal="left" vertical="center" wrapText="1"/>
    </xf>
    <xf numFmtId="14" fontId="47" fillId="8" borderId="4" xfId="4" applyNumberFormat="1" applyFont="1" applyFill="1" applyBorder="1" applyAlignment="1" applyProtection="1">
      <alignment horizontal="left" vertical="center" wrapText="1"/>
      <protection locked="0"/>
    </xf>
    <xf numFmtId="14" fontId="47" fillId="8" borderId="5" xfId="4" applyNumberFormat="1" applyFont="1" applyFill="1" applyBorder="1" applyAlignment="1" applyProtection="1">
      <alignment horizontal="left" vertical="center" wrapText="1"/>
      <protection locked="0"/>
    </xf>
    <xf numFmtId="14" fontId="47" fillId="8" borderId="6" xfId="4" applyNumberFormat="1" applyFont="1" applyFill="1" applyBorder="1" applyAlignment="1" applyProtection="1">
      <alignment horizontal="left" vertical="center" wrapText="1"/>
      <protection locked="0"/>
    </xf>
    <xf numFmtId="0" fontId="49" fillId="8" borderId="4" xfId="5" applyFont="1" applyFill="1" applyBorder="1" applyAlignment="1" applyProtection="1">
      <alignment horizontal="left" vertical="center" wrapText="1"/>
      <protection locked="0"/>
    </xf>
    <xf numFmtId="0" fontId="46" fillId="0" borderId="4" xfId="4" applyFont="1" applyBorder="1" applyAlignment="1">
      <alignment horizontal="center" vertical="center" wrapText="1"/>
    </xf>
    <xf numFmtId="0" fontId="55" fillId="0" borderId="5" xfId="4" applyFont="1" applyBorder="1" applyAlignment="1">
      <alignment horizontal="center" vertical="center" wrapText="1"/>
    </xf>
    <xf numFmtId="0" fontId="55" fillId="0" borderId="6" xfId="4" applyFont="1" applyBorder="1" applyAlignment="1">
      <alignment horizontal="center" vertical="center" wrapText="1"/>
    </xf>
    <xf numFmtId="0" fontId="34" fillId="0" borderId="4" xfId="4" applyFont="1" applyBorder="1" applyAlignment="1">
      <alignment vertical="center" wrapText="1"/>
    </xf>
    <xf numFmtId="0" fontId="34" fillId="0" borderId="5" xfId="4" applyFont="1" applyBorder="1" applyAlignment="1">
      <alignment vertical="center" wrapText="1"/>
    </xf>
    <xf numFmtId="0" fontId="34" fillId="0" borderId="6" xfId="4" applyFont="1" applyBorder="1" applyAlignment="1">
      <alignment vertical="center" wrapText="1"/>
    </xf>
    <xf numFmtId="0" fontId="47" fillId="8" borderId="4" xfId="4" applyFont="1" applyFill="1" applyBorder="1" applyAlignment="1" applyProtection="1">
      <alignment horizontal="left" vertical="center" wrapText="1"/>
    </xf>
    <xf numFmtId="0" fontId="47" fillId="8" borderId="5" xfId="4" applyFont="1" applyFill="1" applyBorder="1" applyAlignment="1" applyProtection="1">
      <alignment horizontal="left" vertical="center" wrapText="1"/>
    </xf>
    <xf numFmtId="0" fontId="47" fillId="8" borderId="6" xfId="4" applyFont="1" applyFill="1" applyBorder="1" applyAlignment="1" applyProtection="1">
      <alignment horizontal="left" vertical="center" wrapText="1"/>
    </xf>
    <xf numFmtId="0" fontId="45" fillId="0" borderId="5" xfId="4" applyBorder="1" applyAlignment="1">
      <alignment vertical="center" wrapText="1"/>
    </xf>
    <xf numFmtId="0" fontId="45" fillId="0" borderId="6" xfId="4" applyBorder="1" applyAlignment="1">
      <alignment vertical="center" wrapText="1"/>
    </xf>
    <xf numFmtId="0" fontId="45" fillId="0" borderId="69" xfId="4" applyFont="1" applyBorder="1" applyAlignment="1">
      <alignment horizontal="center" wrapText="1"/>
    </xf>
    <xf numFmtId="0" fontId="45" fillId="0" borderId="70" xfId="4" applyBorder="1" applyAlignment="1">
      <alignment horizontal="center" wrapText="1"/>
    </xf>
    <xf numFmtId="0" fontId="45" fillId="0" borderId="71" xfId="4" applyBorder="1" applyAlignment="1">
      <alignment horizontal="center" wrapText="1"/>
    </xf>
    <xf numFmtId="0" fontId="45" fillId="0" borderId="29" xfId="4" applyBorder="1" applyAlignment="1">
      <alignment horizontal="center" wrapText="1"/>
    </xf>
    <xf numFmtId="0" fontId="58" fillId="0" borderId="4" xfId="4" applyFont="1" applyFill="1" applyBorder="1" applyAlignment="1">
      <alignment vertical="center" wrapText="1"/>
    </xf>
    <xf numFmtId="0" fontId="58" fillId="0" borderId="5" xfId="4" applyFont="1" applyFill="1" applyBorder="1" applyAlignment="1">
      <alignment vertical="center" wrapText="1"/>
    </xf>
    <xf numFmtId="0" fontId="58" fillId="0" borderId="6" xfId="4" applyFont="1" applyFill="1" applyBorder="1" applyAlignment="1">
      <alignment vertical="center" wrapText="1"/>
    </xf>
    <xf numFmtId="0" fontId="46" fillId="0" borderId="0" xfId="4" applyFont="1" applyAlignment="1">
      <alignment horizontal="center" wrapText="1"/>
    </xf>
    <xf numFmtId="0" fontId="45" fillId="0" borderId="0" xfId="4" applyAlignment="1">
      <alignment wrapText="1"/>
    </xf>
    <xf numFmtId="0" fontId="33" fillId="0" borderId="4" xfId="4" applyFont="1" applyBorder="1" applyAlignment="1">
      <alignment wrapText="1"/>
    </xf>
    <xf numFmtId="0" fontId="33" fillId="0" borderId="5" xfId="4" applyFont="1" applyBorder="1" applyAlignment="1">
      <alignment wrapText="1"/>
    </xf>
    <xf numFmtId="0" fontId="33" fillId="0" borderId="6" xfId="4" applyFont="1" applyBorder="1" applyAlignment="1">
      <alignment wrapText="1"/>
    </xf>
    <xf numFmtId="0" fontId="34" fillId="8" borderId="4" xfId="4" applyFont="1" applyFill="1" applyBorder="1" applyAlignment="1" applyProtection="1">
      <alignment horizontal="left" wrapText="1"/>
    </xf>
    <xf numFmtId="0" fontId="34" fillId="8" borderId="5" xfId="4" applyFont="1" applyFill="1" applyBorder="1" applyAlignment="1" applyProtection="1">
      <alignment horizontal="left" wrapText="1"/>
    </xf>
    <xf numFmtId="0" fontId="34" fillId="8" borderId="6" xfId="4" applyFont="1" applyFill="1" applyBorder="1" applyAlignment="1" applyProtection="1">
      <alignment horizontal="left" wrapText="1"/>
    </xf>
    <xf numFmtId="0" fontId="34" fillId="8" borderId="4" xfId="4" applyNumberFormat="1" applyFont="1" applyFill="1" applyBorder="1" applyAlignment="1" applyProtection="1">
      <alignment horizontal="left" wrapText="1"/>
    </xf>
    <xf numFmtId="0" fontId="34" fillId="8" borderId="5" xfId="4" applyNumberFormat="1" applyFont="1" applyFill="1" applyBorder="1" applyAlignment="1" applyProtection="1">
      <alignment horizontal="left" wrapText="1"/>
    </xf>
    <xf numFmtId="0" fontId="34" fillId="8" borderId="6" xfId="4" applyNumberFormat="1" applyFont="1" applyFill="1" applyBorder="1" applyAlignment="1" applyProtection="1">
      <alignment horizontal="left" wrapText="1"/>
    </xf>
    <xf numFmtId="0" fontId="33" fillId="0" borderId="4" xfId="4" applyFont="1" applyBorder="1" applyAlignment="1">
      <alignment horizontal="left" wrapText="1"/>
    </xf>
    <xf numFmtId="0" fontId="33" fillId="0" borderId="5" xfId="4" applyFont="1" applyBorder="1" applyAlignment="1">
      <alignment horizontal="left" wrapText="1"/>
    </xf>
    <xf numFmtId="0" fontId="33" fillId="0" borderId="6" xfId="4" applyFont="1" applyBorder="1" applyAlignment="1">
      <alignment horizontal="left" wrapText="1"/>
    </xf>
    <xf numFmtId="14" fontId="34" fillId="8" borderId="4" xfId="4" applyNumberFormat="1" applyFont="1" applyFill="1" applyBorder="1" applyAlignment="1" applyProtection="1">
      <alignment horizontal="left" wrapText="1"/>
      <protection locked="0"/>
    </xf>
    <xf numFmtId="14" fontId="34" fillId="8" borderId="5" xfId="4" applyNumberFormat="1" applyFont="1" applyFill="1" applyBorder="1" applyAlignment="1" applyProtection="1">
      <alignment horizontal="left" wrapText="1"/>
      <protection locked="0"/>
    </xf>
    <xf numFmtId="14" fontId="34" fillId="8" borderId="6" xfId="4" applyNumberFormat="1" applyFont="1" applyFill="1" applyBorder="1" applyAlignment="1" applyProtection="1">
      <alignment horizontal="left" wrapText="1"/>
      <protection locked="0"/>
    </xf>
    <xf numFmtId="0" fontId="34" fillId="8" borderId="4" xfId="4" applyFont="1" applyFill="1" applyBorder="1" applyAlignment="1" applyProtection="1">
      <alignment horizontal="left" wrapText="1"/>
      <protection locked="0"/>
    </xf>
    <xf numFmtId="0" fontId="34" fillId="8" borderId="5" xfId="4" applyFont="1" applyFill="1" applyBorder="1" applyAlignment="1" applyProtection="1">
      <alignment horizontal="left" wrapText="1"/>
      <protection locked="0"/>
    </xf>
    <xf numFmtId="0" fontId="34" fillId="8" borderId="6" xfId="4" applyFont="1" applyFill="1" applyBorder="1" applyAlignment="1" applyProtection="1">
      <alignment horizontal="left" wrapText="1"/>
      <protection locked="0"/>
    </xf>
    <xf numFmtId="0" fontId="33" fillId="0" borderId="2" xfId="4" applyFont="1" applyBorder="1" applyAlignment="1">
      <alignment horizontal="center" vertical="center" wrapText="1"/>
    </xf>
    <xf numFmtId="0" fontId="53" fillId="0" borderId="1" xfId="4" applyFont="1" applyBorder="1" applyAlignment="1">
      <alignment horizontal="center"/>
    </xf>
    <xf numFmtId="0" fontId="53" fillId="0" borderId="15" xfId="4" applyFont="1" applyBorder="1" applyAlignment="1">
      <alignment horizontal="center"/>
    </xf>
    <xf numFmtId="0" fontId="58" fillId="8" borderId="4" xfId="4" applyFont="1" applyFill="1" applyBorder="1" applyAlignment="1" applyProtection="1">
      <alignment horizontal="left" vertical="center"/>
      <protection locked="0"/>
    </xf>
    <xf numFmtId="0" fontId="58" fillId="8" borderId="5" xfId="4" applyFont="1" applyFill="1" applyBorder="1" applyAlignment="1" applyProtection="1">
      <alignment horizontal="left" vertical="center"/>
      <protection locked="0"/>
    </xf>
    <xf numFmtId="0" fontId="58" fillId="8" borderId="6" xfId="4" applyFont="1" applyFill="1" applyBorder="1" applyAlignment="1" applyProtection="1">
      <alignment horizontal="left" vertical="center"/>
      <protection locked="0"/>
    </xf>
    <xf numFmtId="0" fontId="33" fillId="8" borderId="4" xfId="4" applyFont="1" applyFill="1" applyBorder="1" applyAlignment="1" applyProtection="1">
      <alignment horizontal="left" vertical="center"/>
      <protection locked="0"/>
    </xf>
    <xf numFmtId="0" fontId="33" fillId="8" borderId="5" xfId="4" applyFont="1" applyFill="1" applyBorder="1" applyAlignment="1" applyProtection="1">
      <alignment horizontal="left" vertical="center"/>
      <protection locked="0"/>
    </xf>
    <xf numFmtId="0" fontId="33" fillId="8" borderId="6" xfId="4" applyFont="1" applyFill="1" applyBorder="1" applyAlignment="1" applyProtection="1">
      <alignment horizontal="left" vertical="center"/>
      <protection locked="0"/>
    </xf>
    <xf numFmtId="0" fontId="34" fillId="8" borderId="4" xfId="4" applyFont="1" applyFill="1" applyBorder="1" applyAlignment="1" applyProtection="1">
      <alignment horizontal="left" vertical="center"/>
      <protection locked="0"/>
    </xf>
    <xf numFmtId="0" fontId="62" fillId="8" borderId="5" xfId="4" applyFont="1" applyFill="1" applyBorder="1" applyAlignment="1" applyProtection="1">
      <alignment horizontal="left" vertical="center"/>
      <protection locked="0"/>
    </xf>
    <xf numFmtId="0" fontId="62" fillId="8" borderId="6" xfId="4" applyFont="1" applyFill="1" applyBorder="1" applyAlignment="1" applyProtection="1">
      <alignment horizontal="left" vertical="center"/>
      <protection locked="0"/>
    </xf>
    <xf numFmtId="0" fontId="65" fillId="8" borderId="4" xfId="4" applyFont="1" applyFill="1" applyBorder="1" applyAlignment="1" applyProtection="1">
      <alignment horizontal="left" vertical="center" wrapText="1"/>
      <protection locked="0"/>
    </xf>
    <xf numFmtId="0" fontId="65" fillId="8" borderId="5" xfId="4" applyFont="1" applyFill="1" applyBorder="1" applyAlignment="1" applyProtection="1">
      <alignment horizontal="left" vertical="center" wrapText="1"/>
      <protection locked="0"/>
    </xf>
    <xf numFmtId="0" fontId="65" fillId="8" borderId="6" xfId="4" applyFont="1" applyFill="1" applyBorder="1" applyAlignment="1" applyProtection="1">
      <alignment horizontal="left" vertical="center" wrapText="1"/>
      <protection locked="0"/>
    </xf>
    <xf numFmtId="1" fontId="45" fillId="0" borderId="1" xfId="4" applyNumberFormat="1" applyFont="1" applyBorder="1" applyAlignment="1">
      <alignment horizontal="left" vertical="center"/>
    </xf>
    <xf numFmtId="0" fontId="45" fillId="0" borderId="1" xfId="4" applyFont="1" applyBorder="1" applyAlignment="1">
      <alignment horizontal="left"/>
    </xf>
    <xf numFmtId="0" fontId="45" fillId="0" borderId="1" xfId="4" applyFont="1" applyBorder="1" applyAlignment="1"/>
    <xf numFmtId="0" fontId="45" fillId="0" borderId="15" xfId="4" applyFont="1" applyBorder="1" applyAlignment="1">
      <alignment horizontal="left" vertical="center"/>
    </xf>
    <xf numFmtId="0" fontId="45" fillId="0" borderId="15" xfId="4" applyFont="1" applyBorder="1" applyAlignment="1">
      <alignment horizontal="left"/>
    </xf>
    <xf numFmtId="0" fontId="45" fillId="0" borderId="15" xfId="4" applyFont="1" applyBorder="1" applyAlignment="1"/>
    <xf numFmtId="0" fontId="47" fillId="0" borderId="2" xfId="4" applyFont="1" applyFill="1" applyBorder="1" applyAlignment="1">
      <alignment horizontal="center" vertical="center" wrapText="1"/>
    </xf>
    <xf numFmtId="0" fontId="33" fillId="0" borderId="18" xfId="4" applyFont="1" applyBorder="1" applyAlignment="1">
      <alignment horizontal="left" vertical="center" wrapText="1"/>
    </xf>
    <xf numFmtId="0" fontId="33" fillId="0" borderId="29" xfId="4" applyFont="1" applyBorder="1" applyAlignment="1">
      <alignment horizontal="left" vertical="center" wrapText="1"/>
    </xf>
    <xf numFmtId="0" fontId="33" fillId="0" borderId="19" xfId="4" applyFont="1" applyBorder="1" applyAlignment="1">
      <alignment horizontal="left" vertical="center" wrapText="1"/>
    </xf>
    <xf numFmtId="0" fontId="33" fillId="0" borderId="18" xfId="4" applyFont="1" applyBorder="1" applyAlignment="1">
      <alignment horizontal="center" vertical="center" wrapText="1"/>
    </xf>
    <xf numFmtId="0" fontId="34" fillId="0" borderId="29" xfId="4" applyFont="1" applyBorder="1" applyAlignment="1">
      <alignment horizontal="center" vertical="center"/>
    </xf>
    <xf numFmtId="0" fontId="34" fillId="0" borderId="19" xfId="4" applyFont="1" applyBorder="1" applyAlignment="1">
      <alignment horizontal="center" vertical="center"/>
    </xf>
    <xf numFmtId="49" fontId="34" fillId="0" borderId="24" xfId="4" applyNumberFormat="1" applyFont="1" applyFill="1" applyBorder="1" applyAlignment="1">
      <alignment horizontal="left"/>
    </xf>
    <xf numFmtId="49" fontId="34" fillId="0" borderId="25" xfId="4" applyNumberFormat="1" applyFont="1" applyFill="1" applyBorder="1" applyAlignment="1">
      <alignment horizontal="left"/>
    </xf>
    <xf numFmtId="49" fontId="34" fillId="0" borderId="26" xfId="4" applyNumberFormat="1" applyFont="1" applyFill="1" applyBorder="1" applyAlignment="1">
      <alignment horizontal="left"/>
    </xf>
    <xf numFmtId="49" fontId="34" fillId="0" borderId="24" xfId="4" applyNumberFormat="1" applyFont="1" applyBorder="1" applyAlignment="1">
      <alignment horizontal="left"/>
    </xf>
    <xf numFmtId="49" fontId="34" fillId="0" borderId="25" xfId="4" applyNumberFormat="1" applyFont="1" applyBorder="1" applyAlignment="1">
      <alignment horizontal="left"/>
    </xf>
    <xf numFmtId="49" fontId="34" fillId="0" borderId="26" xfId="4" applyNumberFormat="1" applyFont="1" applyBorder="1" applyAlignment="1">
      <alignment horizontal="left"/>
    </xf>
    <xf numFmtId="0" fontId="62" fillId="0" borderId="0" xfId="4" applyFont="1" applyFill="1" applyAlignment="1">
      <alignment horizontal="center"/>
    </xf>
    <xf numFmtId="0" fontId="71" fillId="0" borderId="0" xfId="4" applyFont="1" applyBorder="1" applyAlignment="1">
      <alignment wrapText="1"/>
    </xf>
    <xf numFmtId="0" fontId="47" fillId="0" borderId="67" xfId="4" applyFont="1" applyFill="1" applyBorder="1" applyAlignment="1">
      <alignment horizontal="center" vertical="center" wrapText="1"/>
    </xf>
    <xf numFmtId="0" fontId="68" fillId="17" borderId="68" xfId="4" applyFont="1" applyFill="1" applyBorder="1" applyAlignment="1">
      <alignment horizontal="center" wrapText="1"/>
    </xf>
    <xf numFmtId="0" fontId="69" fillId="13" borderId="68" xfId="4" applyFont="1" applyFill="1" applyBorder="1" applyAlignment="1">
      <alignment horizontal="center" vertical="center" wrapText="1"/>
    </xf>
    <xf numFmtId="0" fontId="45" fillId="0" borderId="68" xfId="4" applyBorder="1" applyAlignment="1">
      <alignment horizontal="center" vertical="center" wrapText="1"/>
    </xf>
    <xf numFmtId="0" fontId="68" fillId="13" borderId="68" xfId="4" applyFont="1" applyFill="1" applyBorder="1" applyAlignment="1">
      <alignment horizontal="center" vertical="center" wrapText="1"/>
    </xf>
    <xf numFmtId="0" fontId="45" fillId="0" borderId="68" xfId="4" applyFont="1" applyBorder="1" applyAlignment="1">
      <alignment horizontal="center" vertical="center" wrapText="1"/>
    </xf>
    <xf numFmtId="0" fontId="34" fillId="0" borderId="0" xfId="4" applyFont="1" applyBorder="1" applyAlignment="1">
      <alignment horizontal="left"/>
    </xf>
    <xf numFmtId="0" fontId="37" fillId="0" borderId="29" xfId="0" applyFont="1" applyBorder="1" applyAlignment="1">
      <alignment horizontal="center"/>
    </xf>
    <xf numFmtId="0" fontId="75" fillId="2" borderId="29" xfId="0" applyFont="1" applyFill="1" applyBorder="1" applyAlignment="1">
      <alignment horizontal="center"/>
    </xf>
    <xf numFmtId="0" fontId="37" fillId="0" borderId="0" xfId="0" applyFont="1" applyBorder="1" applyAlignment="1" applyProtection="1">
      <alignment horizontal="right"/>
      <protection hidden="1"/>
    </xf>
    <xf numFmtId="0" fontId="42" fillId="0" borderId="0" xfId="0" applyFont="1" applyAlignment="1" applyProtection="1">
      <alignment horizontal="right"/>
      <protection hidden="1"/>
    </xf>
    <xf numFmtId="0" fontId="36" fillId="2" borderId="4" xfId="0" applyFont="1" applyFill="1" applyBorder="1" applyAlignment="1" applyProtection="1">
      <alignment horizontal="center"/>
      <protection locked="0"/>
    </xf>
    <xf numFmtId="0" fontId="36" fillId="2" borderId="6" xfId="0" applyFont="1" applyFill="1" applyBorder="1" applyAlignment="1" applyProtection="1">
      <alignment horizontal="center"/>
      <protection locked="0"/>
    </xf>
    <xf numFmtId="0" fontId="37" fillId="0" borderId="63" xfId="0" applyFont="1" applyBorder="1" applyAlignment="1">
      <alignment horizontal="center" wrapText="1"/>
    </xf>
    <xf numFmtId="0" fontId="37" fillId="0" borderId="64" xfId="0" applyFont="1" applyBorder="1" applyAlignment="1">
      <alignment horizontal="center" wrapText="1"/>
    </xf>
    <xf numFmtId="0" fontId="36" fillId="2" borderId="4" xfId="0" applyFont="1" applyFill="1" applyBorder="1" applyAlignment="1" applyProtection="1">
      <alignment horizontal="center" wrapText="1"/>
      <protection locked="0"/>
    </xf>
    <xf numFmtId="0" fontId="36" fillId="2" borderId="6" xfId="0" applyFont="1" applyFill="1" applyBorder="1" applyAlignment="1" applyProtection="1">
      <alignment horizontal="center" wrapText="1"/>
      <protection locked="0"/>
    </xf>
    <xf numFmtId="10" fontId="36" fillId="2" borderId="61" xfId="0" applyNumberFormat="1" applyFont="1" applyFill="1" applyBorder="1" applyAlignment="1" applyProtection="1">
      <alignment horizontal="center"/>
      <protection locked="0"/>
    </xf>
    <xf numFmtId="10" fontId="36" fillId="2" borderId="62" xfId="0" applyNumberFormat="1" applyFont="1" applyFill="1" applyBorder="1" applyAlignment="1" applyProtection="1">
      <alignment horizontal="center"/>
      <protection locked="0"/>
    </xf>
    <xf numFmtId="0" fontId="37" fillId="0" borderId="60" xfId="0" applyFont="1" applyBorder="1" applyAlignment="1">
      <alignment horizontal="center"/>
    </xf>
    <xf numFmtId="0" fontId="0" fillId="2" borderId="2" xfId="0" applyFill="1" applyBorder="1" applyAlignment="1" applyProtection="1">
      <alignment horizontal="center"/>
      <protection locked="0"/>
    </xf>
    <xf numFmtId="0" fontId="37" fillId="2" borderId="29" xfId="0" applyFont="1" applyFill="1" applyBorder="1" applyAlignment="1">
      <alignment horizontal="center" wrapText="1"/>
    </xf>
    <xf numFmtId="0" fontId="42" fillId="0" borderId="0" xfId="0" applyFont="1" applyAlignment="1" applyProtection="1">
      <alignment horizontal="center" wrapText="1"/>
      <protection hidden="1"/>
    </xf>
    <xf numFmtId="0" fontId="42" fillId="0" borderId="0" xfId="0" applyFont="1" applyAlignment="1" applyProtection="1">
      <alignment horizontal="center"/>
      <protection hidden="1"/>
    </xf>
    <xf numFmtId="0" fontId="37" fillId="0" borderId="57" xfId="0" applyFont="1" applyBorder="1" applyAlignment="1">
      <alignment horizontal="center"/>
    </xf>
    <xf numFmtId="0" fontId="0" fillId="2" borderId="55" xfId="0" applyFill="1" applyBorder="1" applyAlignment="1" applyProtection="1">
      <alignment horizontal="center"/>
      <protection locked="0"/>
    </xf>
    <xf numFmtId="0" fontId="0" fillId="2" borderId="59" xfId="0" applyFill="1" applyBorder="1" applyAlignment="1" applyProtection="1">
      <alignment horizontal="center"/>
      <protection locked="0"/>
    </xf>
    <xf numFmtId="0" fontId="0" fillId="2" borderId="58" xfId="0" applyFill="1" applyBorder="1" applyAlignment="1" applyProtection="1">
      <alignment horizontal="center"/>
      <protection locked="0"/>
    </xf>
    <xf numFmtId="0" fontId="0" fillId="0" borderId="0" xfId="0" applyBorder="1" applyAlignment="1">
      <alignment horizontal="center" wrapText="1"/>
    </xf>
  </cellXfs>
  <cellStyles count="6">
    <cellStyle name="Hyperlink" xfId="5" builtinId="8"/>
    <cellStyle name="Normal" xfId="0" builtinId="0"/>
    <cellStyle name="Normal 2" xfId="1" xr:uid="{00000000-0005-0000-0000-000002000000}"/>
    <cellStyle name="Normal 3" xfId="4" xr:uid="{00000000-0005-0000-0000-000003000000}"/>
    <cellStyle name="Percent" xfId="3" builtinId="5"/>
    <cellStyle name="Percent 2" xfId="2" xr:uid="{00000000-0005-0000-0000-000005000000}"/>
  </cellStyles>
  <dxfs count="16">
    <dxf>
      <font>
        <color rgb="FFC00000"/>
      </font>
      <fill>
        <patternFill>
          <bgColor theme="5" tint="0.59996337778862885"/>
        </patternFill>
      </fill>
    </dxf>
    <dxf>
      <font>
        <color theme="3"/>
      </font>
      <fill>
        <patternFill>
          <bgColor theme="9" tint="0.79998168889431442"/>
        </patternFill>
      </fill>
    </dxf>
    <dxf>
      <font>
        <color rgb="FFC00000"/>
      </font>
      <fill>
        <patternFill>
          <bgColor theme="5" tint="0.59996337778862885"/>
        </patternFill>
      </fill>
    </dxf>
    <dxf>
      <font>
        <color theme="3"/>
      </font>
      <fill>
        <patternFill>
          <bgColor theme="9" tint="0.79998168889431442"/>
        </patternFill>
      </fill>
    </dxf>
    <dxf>
      <font>
        <color rgb="FFC00000"/>
      </font>
      <fill>
        <patternFill>
          <bgColor theme="5" tint="0.59996337778862885"/>
        </patternFill>
      </fill>
    </dxf>
    <dxf>
      <font>
        <color theme="3"/>
      </font>
      <fill>
        <patternFill>
          <bgColor theme="9" tint="0.79998168889431442"/>
        </patternFill>
      </fill>
    </dxf>
    <dxf>
      <font>
        <color rgb="FFC00000"/>
      </font>
      <fill>
        <patternFill>
          <bgColor theme="5" tint="0.59996337778862885"/>
        </patternFill>
      </fill>
    </dxf>
    <dxf>
      <font>
        <color theme="3"/>
      </font>
      <fill>
        <patternFill>
          <bgColor theme="9" tint="0.79998168889431442"/>
        </patternFill>
      </fill>
    </dxf>
    <dxf>
      <font>
        <color rgb="FFC00000"/>
      </font>
      <fill>
        <patternFill>
          <bgColor theme="5" tint="0.59996337778862885"/>
        </patternFill>
      </fill>
    </dxf>
    <dxf>
      <font>
        <color theme="3"/>
      </font>
      <fill>
        <patternFill>
          <bgColor theme="9" tint="0.79998168889431442"/>
        </patternFill>
      </fill>
    </dxf>
    <dxf>
      <font>
        <color rgb="FFC00000"/>
      </font>
      <fill>
        <patternFill>
          <bgColor theme="5" tint="0.59996337778862885"/>
        </patternFill>
      </fill>
    </dxf>
    <dxf>
      <font>
        <color theme="3"/>
      </font>
      <fill>
        <patternFill>
          <bgColor theme="9" tint="0.79998168889431442"/>
        </patternFill>
      </fill>
    </dxf>
    <dxf>
      <font>
        <color rgb="FFC00000"/>
      </font>
      <fill>
        <patternFill>
          <bgColor theme="5" tint="0.59996337778862885"/>
        </patternFill>
      </fill>
    </dxf>
    <dxf>
      <font>
        <color theme="3"/>
      </font>
      <fill>
        <patternFill>
          <bgColor theme="9" tint="0.79998168889431442"/>
        </patternFill>
      </fill>
    </dxf>
    <dxf>
      <font>
        <color rgb="FFC00000"/>
      </font>
      <fill>
        <patternFill>
          <bgColor theme="5" tint="0.59996337778862885"/>
        </patternFill>
      </fill>
    </dxf>
    <dxf>
      <font>
        <color theme="3"/>
      </font>
      <fill>
        <patternFill>
          <bgColor theme="9" tint="0.79998168889431442"/>
        </patternFill>
      </fill>
    </dxf>
  </dxfs>
  <tableStyles count="0" defaultTableStyle="TableStyleMedium2" defaultPivotStyle="PivotStyleLight16"/>
  <colors>
    <mruColors>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worksheet" Target="worksheets/sheet1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9.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8.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100" b="0" i="0" u="none" strike="noStrike" baseline="0">
                <a:solidFill>
                  <a:srgbClr val="000000"/>
                </a:solidFill>
                <a:latin typeface="Tw Cen MT Condensed"/>
                <a:ea typeface="Tw Cen MT Condensed"/>
                <a:cs typeface="Tw Cen MT Condensed"/>
              </a:defRPr>
            </a:pPr>
            <a:r>
              <a:rPr lang="en-US"/>
              <a:t>Gradation Chart - Sieve Sizes Raised to 0.45 Power</a:t>
            </a:r>
          </a:p>
        </c:rich>
      </c:tx>
      <c:layout>
        <c:manualLayout>
          <c:xMode val="edge"/>
          <c:yMode val="edge"/>
          <c:x val="0.36736947627035432"/>
          <c:y val="2.3926350115326494E-2"/>
        </c:manualLayout>
      </c:layout>
      <c:overlay val="0"/>
      <c:spPr>
        <a:solidFill>
          <a:schemeClr val="lt1"/>
        </a:solidFill>
        <a:ln w="25400" cap="flat" cmpd="sng" algn="ctr">
          <a:solidFill>
            <a:schemeClr val="accent1"/>
          </a:solidFill>
          <a:prstDash val="solid"/>
        </a:ln>
        <a:effectLst/>
      </c:spPr>
    </c:title>
    <c:autoTitleDeleted val="0"/>
    <c:plotArea>
      <c:layout>
        <c:manualLayout>
          <c:layoutTarget val="inner"/>
          <c:xMode val="edge"/>
          <c:yMode val="edge"/>
          <c:x val="8.8050314465408799E-2"/>
          <c:y val="0.13376835236541598"/>
          <c:w val="0.80466148723640463"/>
          <c:h val="0.72104404567699865"/>
        </c:manualLayout>
      </c:layout>
      <c:scatterChart>
        <c:scatterStyle val="smoothMarker"/>
        <c:varyColors val="0"/>
        <c:ser>
          <c:idx val="4"/>
          <c:order val="0"/>
          <c:tx>
            <c:strRef>
              <c:f>[1]Data!$J$29</c:f>
              <c:strCache>
                <c:ptCount val="1"/>
                <c:pt idx="0">
                  <c:v>Maximum Limits for Class R Aggregate Percent Passing</c:v>
                </c:pt>
              </c:strCache>
            </c:strRef>
          </c:tx>
          <c:spPr>
            <a:ln w="25400">
              <a:solidFill>
                <a:srgbClr val="339933"/>
              </a:solidFill>
              <a:prstDash val="solid"/>
            </a:ln>
          </c:spPr>
          <c:marker>
            <c:symbol val="none"/>
          </c:marker>
          <c:xVal>
            <c:numRef>
              <c:f>[1]Data!$K$23:$R$23</c:f>
              <c:numCache>
                <c:formatCode>General</c:formatCode>
                <c:ptCount val="8"/>
                <c:pt idx="0">
                  <c:v>7.1999999999999995E-2</c:v>
                </c:pt>
                <c:pt idx="1">
                  <c:v>0.13500000000000001</c:v>
                </c:pt>
                <c:pt idx="2">
                  <c:v>0.185</c:v>
                </c:pt>
                <c:pt idx="3">
                  <c:v>0.34499999999999997</c:v>
                </c:pt>
                <c:pt idx="4">
                  <c:v>0.47</c:v>
                </c:pt>
                <c:pt idx="5">
                  <c:v>0.879</c:v>
                </c:pt>
                <c:pt idx="6">
                  <c:v>1</c:v>
                </c:pt>
                <c:pt idx="7">
                  <c:v>1.5</c:v>
                </c:pt>
              </c:numCache>
            </c:numRef>
          </c:xVal>
          <c:yVal>
            <c:numRef>
              <c:f>[1]Data!$K$29:$R$29</c:f>
              <c:numCache>
                <c:formatCode>General</c:formatCode>
                <c:ptCount val="8"/>
                <c:pt idx="0">
                  <c:v>3</c:v>
                </c:pt>
                <c:pt idx="1">
                  <c:v>12</c:v>
                </c:pt>
                <c:pt idx="2">
                  <c:v>30</c:v>
                </c:pt>
                <c:pt idx="3">
                  <c:v>50</c:v>
                </c:pt>
                <c:pt idx="4">
                  <c:v>70</c:v>
                </c:pt>
                <c:pt idx="5">
                  <c:v>98</c:v>
                </c:pt>
                <c:pt idx="6">
                  <c:v>100</c:v>
                </c:pt>
                <c:pt idx="7">
                  <c:v>100</c:v>
                </c:pt>
              </c:numCache>
            </c:numRef>
          </c:yVal>
          <c:smooth val="1"/>
          <c:extLst>
            <c:ext xmlns:c16="http://schemas.microsoft.com/office/drawing/2014/chart" uri="{C3380CC4-5D6E-409C-BE32-E72D297353CC}">
              <c16:uniqueId val="{00000000-0298-4C21-911A-710190B5FDE3}"/>
            </c:ext>
          </c:extLst>
        </c:ser>
        <c:ser>
          <c:idx val="5"/>
          <c:order val="1"/>
          <c:tx>
            <c:strRef>
              <c:f>[1]Data!$J$30</c:f>
              <c:strCache>
                <c:ptCount val="1"/>
                <c:pt idx="0">
                  <c:v>Minimum Limits for Class R Aggregate Percent Passing</c:v>
                </c:pt>
              </c:strCache>
            </c:strRef>
          </c:tx>
          <c:spPr>
            <a:ln w="25400">
              <a:solidFill>
                <a:srgbClr val="339933"/>
              </a:solidFill>
              <a:prstDash val="solid"/>
            </a:ln>
          </c:spPr>
          <c:marker>
            <c:symbol val="none"/>
          </c:marker>
          <c:xVal>
            <c:numRef>
              <c:f>[1]Data!$K$23:$R$23</c:f>
              <c:numCache>
                <c:formatCode>General</c:formatCode>
                <c:ptCount val="8"/>
                <c:pt idx="0">
                  <c:v>7.1999999999999995E-2</c:v>
                </c:pt>
                <c:pt idx="1">
                  <c:v>0.13500000000000001</c:v>
                </c:pt>
                <c:pt idx="2">
                  <c:v>0.185</c:v>
                </c:pt>
                <c:pt idx="3">
                  <c:v>0.34499999999999997</c:v>
                </c:pt>
                <c:pt idx="4">
                  <c:v>0.47</c:v>
                </c:pt>
                <c:pt idx="5">
                  <c:v>0.879</c:v>
                </c:pt>
                <c:pt idx="6">
                  <c:v>1</c:v>
                </c:pt>
                <c:pt idx="7">
                  <c:v>1.5</c:v>
                </c:pt>
              </c:numCache>
            </c:numRef>
          </c:xVal>
          <c:yVal>
            <c:numRef>
              <c:f>[1]Data!$K$30:$Q$30</c:f>
              <c:numCache>
                <c:formatCode>General</c:formatCode>
                <c:ptCount val="7"/>
                <c:pt idx="0">
                  <c:v>0</c:v>
                </c:pt>
                <c:pt idx="1">
                  <c:v>2</c:v>
                </c:pt>
                <c:pt idx="2">
                  <c:v>2</c:v>
                </c:pt>
                <c:pt idx="3">
                  <c:v>2</c:v>
                </c:pt>
                <c:pt idx="4">
                  <c:v>6</c:v>
                </c:pt>
                <c:pt idx="5">
                  <c:v>64</c:v>
                </c:pt>
                <c:pt idx="6">
                  <c:v>84</c:v>
                </c:pt>
              </c:numCache>
            </c:numRef>
          </c:yVal>
          <c:smooth val="1"/>
          <c:extLst>
            <c:ext xmlns:c16="http://schemas.microsoft.com/office/drawing/2014/chart" uri="{C3380CC4-5D6E-409C-BE32-E72D297353CC}">
              <c16:uniqueId val="{00000001-0298-4C21-911A-710190B5FDE3}"/>
            </c:ext>
          </c:extLst>
        </c:ser>
        <c:ser>
          <c:idx val="0"/>
          <c:order val="2"/>
          <c:tx>
            <c:strRef>
              <c:f>Data!$J$31</c:f>
              <c:strCache>
                <c:ptCount val="1"/>
                <c:pt idx="0">
                  <c:v>Combined Aggregate Gradation</c:v>
                </c:pt>
              </c:strCache>
            </c:strRef>
          </c:tx>
          <c:spPr>
            <a:ln cmpd="sng">
              <a:solidFill>
                <a:schemeClr val="tx1"/>
              </a:solidFill>
              <a:prstDash val="lgDash"/>
            </a:ln>
          </c:spPr>
          <c:marker>
            <c:symbol val="circle"/>
            <c:size val="5"/>
            <c:spPr>
              <a:solidFill>
                <a:schemeClr val="accent6">
                  <a:lumMod val="75000"/>
                </a:schemeClr>
              </a:solidFill>
            </c:spPr>
          </c:marker>
          <c:dLbls>
            <c:spPr>
              <a:noFill/>
              <a:ln>
                <a:noFill/>
              </a:ln>
              <a:effectLst/>
            </c:spPr>
            <c:txPr>
              <a:bodyPr wrap="square" lIns="38100" tIns="19050" rIns="38100" bIns="19050" anchor="ctr">
                <a:spAutoFit/>
              </a:bodyPr>
              <a:lstStyle/>
              <a:p>
                <a:pPr>
                  <a:defRPr sz="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Data!$K$23:$R$23</c:f>
              <c:numCache>
                <c:formatCode>General</c:formatCode>
                <c:ptCount val="8"/>
                <c:pt idx="0">
                  <c:v>7.1999999999999995E-2</c:v>
                </c:pt>
                <c:pt idx="1">
                  <c:v>0.13500000000000001</c:v>
                </c:pt>
                <c:pt idx="2">
                  <c:v>0.185</c:v>
                </c:pt>
                <c:pt idx="3">
                  <c:v>0.34499999999999997</c:v>
                </c:pt>
                <c:pt idx="4">
                  <c:v>0.47</c:v>
                </c:pt>
                <c:pt idx="5">
                  <c:v>0.879</c:v>
                </c:pt>
                <c:pt idx="6">
                  <c:v>1</c:v>
                </c:pt>
                <c:pt idx="7">
                  <c:v>1.5</c:v>
                </c:pt>
              </c:numCache>
            </c:numRef>
          </c:xVal>
          <c:yVal>
            <c:numRef>
              <c:f>Data!$K$31:$R$31</c:f>
              <c:numCache>
                <c:formatCode>0</c:formatCode>
                <c:ptCount val="8"/>
                <c:pt idx="0">
                  <c:v>0</c:v>
                </c:pt>
                <c:pt idx="1">
                  <c:v>0</c:v>
                </c:pt>
                <c:pt idx="2">
                  <c:v>0</c:v>
                </c:pt>
                <c:pt idx="3">
                  <c:v>0</c:v>
                </c:pt>
                <c:pt idx="4">
                  <c:v>0</c:v>
                </c:pt>
                <c:pt idx="5">
                  <c:v>0</c:v>
                </c:pt>
                <c:pt idx="6">
                  <c:v>0</c:v>
                </c:pt>
                <c:pt idx="7">
                  <c:v>0</c:v>
                </c:pt>
              </c:numCache>
            </c:numRef>
          </c:yVal>
          <c:smooth val="1"/>
          <c:extLst>
            <c:ext xmlns:c16="http://schemas.microsoft.com/office/drawing/2014/chart" uri="{C3380CC4-5D6E-409C-BE32-E72D297353CC}">
              <c16:uniqueId val="{00000002-0298-4C21-911A-710190B5FDE3}"/>
            </c:ext>
          </c:extLst>
        </c:ser>
        <c:dLbls>
          <c:showLegendKey val="0"/>
          <c:showVal val="0"/>
          <c:showCatName val="0"/>
          <c:showSerName val="0"/>
          <c:showPercent val="0"/>
          <c:showBubbleSize val="0"/>
        </c:dLbls>
        <c:axId val="279924280"/>
        <c:axId val="1"/>
      </c:scatterChart>
      <c:valAx>
        <c:axId val="279924280"/>
        <c:scaling>
          <c:orientation val="minMax"/>
          <c:max val="1.5"/>
          <c:min val="0"/>
        </c:scaling>
        <c:delete val="0"/>
        <c:axPos val="b"/>
        <c:majorGridlines/>
        <c:title>
          <c:tx>
            <c:rich>
              <a:bodyPr/>
              <a:lstStyle/>
              <a:p>
                <a:pPr>
                  <a:defRPr sz="1000" b="1" i="0" u="none" strike="noStrike" baseline="0">
                    <a:solidFill>
                      <a:srgbClr val="000000"/>
                    </a:solidFill>
                    <a:latin typeface="Arial"/>
                    <a:ea typeface="Arial"/>
                    <a:cs typeface="Arial"/>
                  </a:defRPr>
                </a:pPr>
                <a:r>
                  <a:rPr lang="en-US"/>
                  <a:t>Sieve Sizes</a:t>
                </a:r>
              </a:p>
            </c:rich>
          </c:tx>
          <c:layout>
            <c:manualLayout>
              <c:xMode val="edge"/>
              <c:yMode val="edge"/>
              <c:x val="0.45257630352346967"/>
              <c:y val="0.9111343354807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At val="0"/>
        <c:crossBetween val="midCat"/>
        <c:majorUnit val="0.2"/>
      </c:valAx>
      <c:valAx>
        <c:axId val="1"/>
        <c:scaling>
          <c:orientation val="minMax"/>
          <c:max val="100"/>
          <c:min val="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Percent Passing</a:t>
                </a:r>
              </a:p>
            </c:rich>
          </c:tx>
          <c:layout>
            <c:manualLayout>
              <c:xMode val="edge"/>
              <c:yMode val="edge"/>
              <c:x val="2.3677492602859927E-2"/>
              <c:y val="0.373572417084228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79924280"/>
        <c:crossesAt val="0"/>
        <c:crossBetween val="midCat"/>
      </c:valAx>
      <c:spPr>
        <a:gradFill rotWithShape="0">
          <a:gsLst>
            <a:gs pos="0">
              <a:srgbClr val="DAFDA7"/>
            </a:gs>
            <a:gs pos="35001">
              <a:srgbClr val="E4FDC2"/>
            </a:gs>
            <a:gs pos="100000">
              <a:srgbClr val="F5FFE6"/>
            </a:gs>
          </a:gsLst>
          <a:lin ang="16200000" scaled="1"/>
        </a:gradFill>
        <a:ln w="3175">
          <a:solidFill>
            <a:srgbClr val="996633"/>
          </a:solidFill>
          <a:prstDash val="solid"/>
        </a:ln>
      </c:spPr>
    </c:plotArea>
    <c:legend>
      <c:legendPos val="r"/>
      <c:layout>
        <c:manualLayout>
          <c:xMode val="edge"/>
          <c:yMode val="edge"/>
          <c:x val="0.42914655183949063"/>
          <c:y val="0.67738672107050169"/>
          <c:w val="0.45652173913043481"/>
          <c:h val="0.12879708383961117"/>
        </c:manualLayout>
      </c:layout>
      <c:overlay val="1"/>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atMod val="105000"/>
            </a:schemeClr>
          </a:solidFill>
          <a:prstDash val="solid"/>
        </a:ln>
        <a:effectLst>
          <a:outerShdw blurRad="40000" dist="20000" dir="5400000" rotWithShape="0">
            <a:srgbClr val="000000">
              <a:alpha val="38000"/>
            </a:srgbClr>
          </a:outerShdw>
        </a:effectLst>
      </c:spPr>
      <c:txPr>
        <a:bodyPr/>
        <a:lstStyle/>
        <a:p>
          <a:pPr>
            <a:defRPr sz="925" b="1"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Mix 2</a:t>
            </a:r>
          </a:p>
        </c:rich>
      </c:tx>
      <c:layout>
        <c:manualLayout>
          <c:xMode val="edge"/>
          <c:yMode val="edge"/>
          <c:x val="0.39340041607147841"/>
          <c:y val="1.181833614081822E-2"/>
        </c:manualLayout>
      </c:layout>
      <c:overlay val="1"/>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autoTitleDeleted val="0"/>
    <c:plotArea>
      <c:layout>
        <c:manualLayout>
          <c:layoutTarget val="inner"/>
          <c:xMode val="edge"/>
          <c:yMode val="edge"/>
          <c:x val="5.0292346415769476E-2"/>
          <c:y val="2.0936970043233846E-2"/>
          <c:w val="0.71077786200104165"/>
          <c:h val="0.91304929634138343"/>
        </c:manualLayout>
      </c:layout>
      <c:scatterChart>
        <c:scatterStyle val="lineMarker"/>
        <c:varyColors val="0"/>
        <c:ser>
          <c:idx val="0"/>
          <c:order val="0"/>
          <c:marker>
            <c:symbol val="none"/>
          </c:marker>
          <c:xVal>
            <c:strRef>
              <c:f>Sheet5!$H$61:$H$72</c:f>
              <c:strCache>
                <c:ptCount val="12"/>
                <c:pt idx="0">
                  <c:v>1.5</c:v>
                </c:pt>
                <c:pt idx="1">
                  <c:v>1</c:v>
                </c:pt>
                <c:pt idx="2">
                  <c:v>0.75</c:v>
                </c:pt>
                <c:pt idx="3">
                  <c:v>0.5</c:v>
                </c:pt>
                <c:pt idx="4">
                  <c:v>0.375</c:v>
                </c:pt>
                <c:pt idx="5">
                  <c:v>#4</c:v>
                </c:pt>
                <c:pt idx="6">
                  <c:v>#8</c:v>
                </c:pt>
                <c:pt idx="7">
                  <c:v>#16</c:v>
                </c:pt>
                <c:pt idx="8">
                  <c:v>#30</c:v>
                </c:pt>
                <c:pt idx="9">
                  <c:v>#50</c:v>
                </c:pt>
                <c:pt idx="10">
                  <c:v>#100</c:v>
                </c:pt>
                <c:pt idx="11">
                  <c:v>#200</c:v>
                </c:pt>
              </c:strCache>
            </c:strRef>
          </c:xVal>
          <c:yVal>
            <c:numRef>
              <c:f>Sheet5!$J$61:$J$72</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0"/>
          <c:extLst>
            <c:ext xmlns:c16="http://schemas.microsoft.com/office/drawing/2014/chart" uri="{C3380CC4-5D6E-409C-BE32-E72D297353CC}">
              <c16:uniqueId val="{00000000-7145-4845-8FAB-179F6C923642}"/>
            </c:ext>
          </c:extLst>
        </c:ser>
        <c:ser>
          <c:idx val="1"/>
          <c:order val="1"/>
          <c:spPr>
            <a:ln w="25400" cap="flat" cmpd="sng" algn="ctr">
              <a:solidFill>
                <a:schemeClr val="dk1"/>
              </a:solidFill>
              <a:prstDash val="solid"/>
            </a:ln>
            <a:effectLst/>
          </c:spPr>
          <c:marker>
            <c:symbol val="none"/>
          </c:marker>
          <c:xVal>
            <c:numRef>
              <c:f>Sheet5!$BE$59:$BE$62</c:f>
              <c:numCache>
                <c:formatCode>General</c:formatCode>
                <c:ptCount val="4"/>
                <c:pt idx="0">
                  <c:v>12</c:v>
                </c:pt>
                <c:pt idx="1">
                  <c:v>11</c:v>
                </c:pt>
                <c:pt idx="2">
                  <c:v>2</c:v>
                </c:pt>
                <c:pt idx="3">
                  <c:v>1</c:v>
                </c:pt>
              </c:numCache>
            </c:numRef>
          </c:xVal>
          <c:yVal>
            <c:numRef>
              <c:f>Sheet5!$BF$59:$BF$62</c:f>
              <c:numCache>
                <c:formatCode>0%</c:formatCode>
                <c:ptCount val="4"/>
                <c:pt idx="0">
                  <c:v>0</c:v>
                </c:pt>
                <c:pt idx="1">
                  <c:v>0.18</c:v>
                </c:pt>
                <c:pt idx="2">
                  <c:v>0.18</c:v>
                </c:pt>
                <c:pt idx="3">
                  <c:v>0</c:v>
                </c:pt>
              </c:numCache>
            </c:numRef>
          </c:yVal>
          <c:smooth val="0"/>
          <c:extLst>
            <c:ext xmlns:c16="http://schemas.microsoft.com/office/drawing/2014/chart" uri="{C3380CC4-5D6E-409C-BE32-E72D297353CC}">
              <c16:uniqueId val="{00000001-7145-4845-8FAB-179F6C923642}"/>
            </c:ext>
          </c:extLst>
        </c:ser>
        <c:ser>
          <c:idx val="2"/>
          <c:order val="2"/>
          <c:spPr>
            <a:ln w="25400" cap="flat" cmpd="sng" algn="ctr">
              <a:solidFill>
                <a:schemeClr val="dk1"/>
              </a:solidFill>
              <a:prstDash val="solid"/>
            </a:ln>
            <a:effectLst/>
          </c:spPr>
          <c:marker>
            <c:symbol val="none"/>
          </c:marker>
          <c:xVal>
            <c:numRef>
              <c:f>Sheet5!$BE$63:$BE$66</c:f>
              <c:numCache>
                <c:formatCode>General</c:formatCode>
                <c:ptCount val="4"/>
                <c:pt idx="0">
                  <c:v>10</c:v>
                </c:pt>
                <c:pt idx="1">
                  <c:v>9</c:v>
                </c:pt>
                <c:pt idx="2">
                  <c:v>4</c:v>
                </c:pt>
                <c:pt idx="3">
                  <c:v>3</c:v>
                </c:pt>
              </c:numCache>
            </c:numRef>
          </c:xVal>
          <c:yVal>
            <c:numRef>
              <c:f>Sheet5!$BF$63:$BF$66</c:f>
              <c:numCache>
                <c:formatCode>0%</c:formatCode>
                <c:ptCount val="4"/>
                <c:pt idx="0">
                  <c:v>0</c:v>
                </c:pt>
                <c:pt idx="1">
                  <c:v>0.08</c:v>
                </c:pt>
                <c:pt idx="2">
                  <c:v>0.08</c:v>
                </c:pt>
                <c:pt idx="3">
                  <c:v>0</c:v>
                </c:pt>
              </c:numCache>
            </c:numRef>
          </c:yVal>
          <c:smooth val="0"/>
          <c:extLst>
            <c:ext xmlns:c16="http://schemas.microsoft.com/office/drawing/2014/chart" uri="{C3380CC4-5D6E-409C-BE32-E72D297353CC}">
              <c16:uniqueId val="{00000002-7145-4845-8FAB-179F6C923642}"/>
            </c:ext>
          </c:extLst>
        </c:ser>
        <c:dLbls>
          <c:showLegendKey val="0"/>
          <c:showVal val="0"/>
          <c:showCatName val="0"/>
          <c:showSerName val="0"/>
          <c:showPercent val="0"/>
          <c:showBubbleSize val="0"/>
        </c:dLbls>
        <c:axId val="1203074672"/>
        <c:axId val="1203083920"/>
      </c:scatterChart>
      <c:valAx>
        <c:axId val="1203074672"/>
        <c:scaling>
          <c:orientation val="maxMin"/>
        </c:scaling>
        <c:delete val="0"/>
        <c:axPos val="b"/>
        <c:majorGridlines/>
        <c:numFmt formatCode="@" sourceLinked="0"/>
        <c:majorTickMark val="out"/>
        <c:minorTickMark val="none"/>
        <c:tickLblPos val="none"/>
        <c:crossAx val="1203083920"/>
        <c:crosses val="autoZero"/>
        <c:crossBetween val="midCat"/>
      </c:valAx>
      <c:valAx>
        <c:axId val="1203083920"/>
        <c:scaling>
          <c:orientation val="minMax"/>
        </c:scaling>
        <c:delete val="0"/>
        <c:axPos val="r"/>
        <c:majorGridlines/>
        <c:title>
          <c:tx>
            <c:rich>
              <a:bodyPr rot="-5400000" vert="horz"/>
              <a:lstStyle/>
              <a:p>
                <a:pPr>
                  <a:defRPr sz="1200"/>
                </a:pPr>
                <a:r>
                  <a:rPr lang="en-US" sz="1200"/>
                  <a:t>%</a:t>
                </a:r>
                <a:r>
                  <a:rPr lang="en-US" sz="1200" baseline="0"/>
                  <a:t> Retained</a:t>
                </a:r>
                <a:endParaRPr lang="en-US" sz="1200"/>
              </a:p>
            </c:rich>
          </c:tx>
          <c:overlay val="0"/>
        </c:title>
        <c:numFmt formatCode="0.00%" sourceLinked="1"/>
        <c:majorTickMark val="out"/>
        <c:minorTickMark val="none"/>
        <c:tickLblPos val="nextTo"/>
        <c:crossAx val="1203074672"/>
        <c:crosses val="autoZero"/>
        <c:crossBetween val="midCat"/>
      </c:valAx>
    </c:plotArea>
    <c:legend>
      <c:legendPos val="r"/>
      <c:overlay val="0"/>
    </c:legend>
    <c:plotVisOnly val="1"/>
    <c:dispBlanksAs val="gap"/>
    <c:showDLblsOverMax val="0"/>
  </c:chart>
  <c:printSettings>
    <c:headerFooter/>
    <c:pageMargins b="0.75000000000000711" l="0.70000000000000062" r="0.70000000000000062" t="0.750000000000007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Mix 7</a:t>
            </a:r>
          </a:p>
        </c:rich>
      </c:tx>
      <c:layout>
        <c:manualLayout>
          <c:xMode val="edge"/>
          <c:yMode val="edge"/>
          <c:x val="0.39340041607147841"/>
          <c:y val="1.181833614081822E-2"/>
        </c:manualLayout>
      </c:layout>
      <c:overlay val="1"/>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autoTitleDeleted val="0"/>
    <c:plotArea>
      <c:layout>
        <c:manualLayout>
          <c:layoutTarget val="inner"/>
          <c:xMode val="edge"/>
          <c:yMode val="edge"/>
          <c:x val="5.0292346415769476E-2"/>
          <c:y val="2.0936970043233846E-2"/>
          <c:w val="0.71077786200104165"/>
          <c:h val="0.91304929634138343"/>
        </c:manualLayout>
      </c:layout>
      <c:scatterChart>
        <c:scatterStyle val="lineMarker"/>
        <c:varyColors val="0"/>
        <c:ser>
          <c:idx val="1"/>
          <c:order val="0"/>
          <c:spPr>
            <a:ln w="25400" cap="flat" cmpd="sng" algn="ctr">
              <a:solidFill>
                <a:schemeClr val="dk1"/>
              </a:solidFill>
              <a:prstDash val="solid"/>
            </a:ln>
            <a:effectLst/>
          </c:spPr>
          <c:marker>
            <c:symbol val="none"/>
          </c:marker>
          <c:xVal>
            <c:numRef>
              <c:f>Sheet5!$BE$59:$BE$62</c:f>
              <c:numCache>
                <c:formatCode>General</c:formatCode>
                <c:ptCount val="4"/>
                <c:pt idx="0">
                  <c:v>12</c:v>
                </c:pt>
                <c:pt idx="1">
                  <c:v>11</c:v>
                </c:pt>
                <c:pt idx="2">
                  <c:v>2</c:v>
                </c:pt>
                <c:pt idx="3">
                  <c:v>1</c:v>
                </c:pt>
              </c:numCache>
            </c:numRef>
          </c:xVal>
          <c:yVal>
            <c:numRef>
              <c:f>Sheet5!$BF$59:$BF$62</c:f>
              <c:numCache>
                <c:formatCode>0%</c:formatCode>
                <c:ptCount val="4"/>
                <c:pt idx="0">
                  <c:v>0</c:v>
                </c:pt>
                <c:pt idx="1">
                  <c:v>0.18</c:v>
                </c:pt>
                <c:pt idx="2">
                  <c:v>0.18</c:v>
                </c:pt>
                <c:pt idx="3">
                  <c:v>0</c:v>
                </c:pt>
              </c:numCache>
            </c:numRef>
          </c:yVal>
          <c:smooth val="0"/>
          <c:extLst>
            <c:ext xmlns:c16="http://schemas.microsoft.com/office/drawing/2014/chart" uri="{C3380CC4-5D6E-409C-BE32-E72D297353CC}">
              <c16:uniqueId val="{00000000-1BD6-4B1A-AAAF-D9129831BCBC}"/>
            </c:ext>
          </c:extLst>
        </c:ser>
        <c:ser>
          <c:idx val="2"/>
          <c:order val="1"/>
          <c:spPr>
            <a:ln w="25400" cap="flat" cmpd="sng" algn="ctr">
              <a:solidFill>
                <a:schemeClr val="dk1"/>
              </a:solidFill>
              <a:prstDash val="solid"/>
            </a:ln>
            <a:effectLst/>
          </c:spPr>
          <c:marker>
            <c:symbol val="none"/>
          </c:marker>
          <c:xVal>
            <c:numRef>
              <c:f>Sheet5!$BE$63:$BE$66</c:f>
              <c:numCache>
                <c:formatCode>General</c:formatCode>
                <c:ptCount val="4"/>
                <c:pt idx="0">
                  <c:v>10</c:v>
                </c:pt>
                <c:pt idx="1">
                  <c:v>9</c:v>
                </c:pt>
                <c:pt idx="2">
                  <c:v>4</c:v>
                </c:pt>
                <c:pt idx="3">
                  <c:v>3</c:v>
                </c:pt>
              </c:numCache>
            </c:numRef>
          </c:xVal>
          <c:yVal>
            <c:numRef>
              <c:f>Sheet5!$BF$63:$BF$66</c:f>
              <c:numCache>
                <c:formatCode>0%</c:formatCode>
                <c:ptCount val="4"/>
                <c:pt idx="0">
                  <c:v>0</c:v>
                </c:pt>
                <c:pt idx="1">
                  <c:v>0.08</c:v>
                </c:pt>
                <c:pt idx="2">
                  <c:v>0.08</c:v>
                </c:pt>
                <c:pt idx="3">
                  <c:v>0</c:v>
                </c:pt>
              </c:numCache>
            </c:numRef>
          </c:yVal>
          <c:smooth val="0"/>
          <c:extLst>
            <c:ext xmlns:c16="http://schemas.microsoft.com/office/drawing/2014/chart" uri="{C3380CC4-5D6E-409C-BE32-E72D297353CC}">
              <c16:uniqueId val="{00000001-1BD6-4B1A-AAAF-D9129831BCBC}"/>
            </c:ext>
          </c:extLst>
        </c:ser>
        <c:ser>
          <c:idx val="0"/>
          <c:order val="2"/>
          <c:marker>
            <c:symbol val="none"/>
          </c:marker>
          <c:xVal>
            <c:strRef>
              <c:f>Sheet5!$H$87:$H$98</c:f>
              <c:strCache>
                <c:ptCount val="12"/>
                <c:pt idx="0">
                  <c:v>1.5</c:v>
                </c:pt>
                <c:pt idx="1">
                  <c:v>1</c:v>
                </c:pt>
                <c:pt idx="2">
                  <c:v>0.75</c:v>
                </c:pt>
                <c:pt idx="3">
                  <c:v>0.5</c:v>
                </c:pt>
                <c:pt idx="4">
                  <c:v>0.375</c:v>
                </c:pt>
                <c:pt idx="5">
                  <c:v>#4</c:v>
                </c:pt>
                <c:pt idx="6">
                  <c:v>#8</c:v>
                </c:pt>
                <c:pt idx="7">
                  <c:v>#16</c:v>
                </c:pt>
                <c:pt idx="8">
                  <c:v>#30</c:v>
                </c:pt>
                <c:pt idx="9">
                  <c:v>#50</c:v>
                </c:pt>
                <c:pt idx="10">
                  <c:v>#100</c:v>
                </c:pt>
                <c:pt idx="11">
                  <c:v>#200</c:v>
                </c:pt>
              </c:strCache>
            </c:strRef>
          </c:xVal>
          <c:yVal>
            <c:numRef>
              <c:f>Sheet5!$J$87:$J$98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0"/>
          <c:extLst>
            <c:ext xmlns:c16="http://schemas.microsoft.com/office/drawing/2014/chart" uri="{C3380CC4-5D6E-409C-BE32-E72D297353CC}">
              <c16:uniqueId val="{00000002-1BD6-4B1A-AAAF-D9129831BCBC}"/>
            </c:ext>
          </c:extLst>
        </c:ser>
        <c:dLbls>
          <c:showLegendKey val="0"/>
          <c:showVal val="0"/>
          <c:showCatName val="0"/>
          <c:showSerName val="0"/>
          <c:showPercent val="0"/>
          <c:showBubbleSize val="0"/>
        </c:dLbls>
        <c:axId val="1203076304"/>
        <c:axId val="1203075216"/>
      </c:scatterChart>
      <c:valAx>
        <c:axId val="1203076304"/>
        <c:scaling>
          <c:orientation val="maxMin"/>
        </c:scaling>
        <c:delete val="0"/>
        <c:axPos val="b"/>
        <c:majorGridlines/>
        <c:numFmt formatCode="@" sourceLinked="0"/>
        <c:majorTickMark val="out"/>
        <c:minorTickMark val="none"/>
        <c:tickLblPos val="none"/>
        <c:crossAx val="1203075216"/>
        <c:crosses val="autoZero"/>
        <c:crossBetween val="midCat"/>
      </c:valAx>
      <c:valAx>
        <c:axId val="1203075216"/>
        <c:scaling>
          <c:orientation val="minMax"/>
        </c:scaling>
        <c:delete val="0"/>
        <c:axPos val="r"/>
        <c:majorGridlines/>
        <c:title>
          <c:tx>
            <c:rich>
              <a:bodyPr rot="-5400000" vert="horz"/>
              <a:lstStyle/>
              <a:p>
                <a:pPr>
                  <a:defRPr sz="1200"/>
                </a:pPr>
                <a:r>
                  <a:rPr lang="en-US" sz="1200"/>
                  <a:t>%</a:t>
                </a:r>
                <a:r>
                  <a:rPr lang="en-US" sz="1200" baseline="0"/>
                  <a:t> Retained</a:t>
                </a:r>
                <a:endParaRPr lang="en-US" sz="1200"/>
              </a:p>
            </c:rich>
          </c:tx>
          <c:overlay val="0"/>
        </c:title>
        <c:numFmt formatCode="0%" sourceLinked="1"/>
        <c:majorTickMark val="out"/>
        <c:minorTickMark val="none"/>
        <c:tickLblPos val="nextTo"/>
        <c:crossAx val="1203076304"/>
        <c:crosses val="autoZero"/>
        <c:crossBetween val="midCat"/>
      </c:valAx>
    </c:plotArea>
    <c:legend>
      <c:legendPos val="r"/>
      <c:overlay val="0"/>
    </c:legend>
    <c:plotVisOnly val="1"/>
    <c:dispBlanksAs val="gap"/>
    <c:showDLblsOverMax val="0"/>
  </c:chart>
  <c:printSettings>
    <c:headerFooter/>
    <c:pageMargins b="0.75000000000000711" l="0.70000000000000062" r="0.70000000000000062" t="0.750000000000007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Mix 10</a:t>
            </a:r>
          </a:p>
        </c:rich>
      </c:tx>
      <c:layout>
        <c:manualLayout>
          <c:xMode val="edge"/>
          <c:yMode val="edge"/>
          <c:x val="0.39340041607147841"/>
          <c:y val="1.181833614081822E-2"/>
        </c:manualLayout>
      </c:layout>
      <c:overlay val="1"/>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autoTitleDeleted val="0"/>
    <c:plotArea>
      <c:layout>
        <c:manualLayout>
          <c:layoutTarget val="inner"/>
          <c:xMode val="edge"/>
          <c:yMode val="edge"/>
          <c:x val="5.0292346415769476E-2"/>
          <c:y val="2.0936970043233846E-2"/>
          <c:w val="0.71077786200104165"/>
          <c:h val="0.91304929634138343"/>
        </c:manualLayout>
      </c:layout>
      <c:scatterChart>
        <c:scatterStyle val="lineMarker"/>
        <c:varyColors val="0"/>
        <c:ser>
          <c:idx val="1"/>
          <c:order val="0"/>
          <c:spPr>
            <a:ln w="25400" cap="flat" cmpd="sng" algn="ctr">
              <a:solidFill>
                <a:schemeClr val="dk1"/>
              </a:solidFill>
              <a:prstDash val="solid"/>
            </a:ln>
            <a:effectLst/>
          </c:spPr>
          <c:marker>
            <c:symbol val="none"/>
          </c:marker>
          <c:xVal>
            <c:numRef>
              <c:f>Sheet5!$BE$59:$BE$62</c:f>
              <c:numCache>
                <c:formatCode>General</c:formatCode>
                <c:ptCount val="4"/>
                <c:pt idx="0">
                  <c:v>12</c:v>
                </c:pt>
                <c:pt idx="1">
                  <c:v>11</c:v>
                </c:pt>
                <c:pt idx="2">
                  <c:v>2</c:v>
                </c:pt>
                <c:pt idx="3">
                  <c:v>1</c:v>
                </c:pt>
              </c:numCache>
            </c:numRef>
          </c:xVal>
          <c:yVal>
            <c:numRef>
              <c:f>Sheet5!$BF$59:$BF$62</c:f>
              <c:numCache>
                <c:formatCode>0%</c:formatCode>
                <c:ptCount val="4"/>
                <c:pt idx="0">
                  <c:v>0</c:v>
                </c:pt>
                <c:pt idx="1">
                  <c:v>0.18</c:v>
                </c:pt>
                <c:pt idx="2">
                  <c:v>0.18</c:v>
                </c:pt>
                <c:pt idx="3">
                  <c:v>0</c:v>
                </c:pt>
              </c:numCache>
            </c:numRef>
          </c:yVal>
          <c:smooth val="0"/>
          <c:extLst>
            <c:ext xmlns:c16="http://schemas.microsoft.com/office/drawing/2014/chart" uri="{C3380CC4-5D6E-409C-BE32-E72D297353CC}">
              <c16:uniqueId val="{00000000-94FE-419E-8949-326DFBC44BF9}"/>
            </c:ext>
          </c:extLst>
        </c:ser>
        <c:ser>
          <c:idx val="2"/>
          <c:order val="1"/>
          <c:spPr>
            <a:ln w="25400" cap="flat" cmpd="sng" algn="ctr">
              <a:solidFill>
                <a:schemeClr val="dk1"/>
              </a:solidFill>
              <a:prstDash val="solid"/>
            </a:ln>
            <a:effectLst/>
          </c:spPr>
          <c:marker>
            <c:symbol val="none"/>
          </c:marker>
          <c:xVal>
            <c:numRef>
              <c:f>Sheet5!$BE$63:$BE$66</c:f>
              <c:numCache>
                <c:formatCode>General</c:formatCode>
                <c:ptCount val="4"/>
                <c:pt idx="0">
                  <c:v>10</c:v>
                </c:pt>
                <c:pt idx="1">
                  <c:v>9</c:v>
                </c:pt>
                <c:pt idx="2">
                  <c:v>4</c:v>
                </c:pt>
                <c:pt idx="3">
                  <c:v>3</c:v>
                </c:pt>
              </c:numCache>
            </c:numRef>
          </c:xVal>
          <c:yVal>
            <c:numRef>
              <c:f>Sheet5!$BF$63:$BF$66</c:f>
              <c:numCache>
                <c:formatCode>0%</c:formatCode>
                <c:ptCount val="4"/>
                <c:pt idx="0">
                  <c:v>0</c:v>
                </c:pt>
                <c:pt idx="1">
                  <c:v>0.08</c:v>
                </c:pt>
                <c:pt idx="2">
                  <c:v>0.08</c:v>
                </c:pt>
                <c:pt idx="3">
                  <c:v>0</c:v>
                </c:pt>
              </c:numCache>
            </c:numRef>
          </c:yVal>
          <c:smooth val="0"/>
          <c:extLst>
            <c:ext xmlns:c16="http://schemas.microsoft.com/office/drawing/2014/chart" uri="{C3380CC4-5D6E-409C-BE32-E72D297353CC}">
              <c16:uniqueId val="{00000001-94FE-419E-8949-326DFBC44BF9}"/>
            </c:ext>
          </c:extLst>
        </c:ser>
        <c:ser>
          <c:idx val="0"/>
          <c:order val="2"/>
          <c:marker>
            <c:symbol val="none"/>
          </c:marker>
          <c:xVal>
            <c:strRef>
              <c:f>Sheet5!$H$114:$H$125</c:f>
              <c:strCache>
                <c:ptCount val="12"/>
                <c:pt idx="0">
                  <c:v>1.5</c:v>
                </c:pt>
                <c:pt idx="1">
                  <c:v>1</c:v>
                </c:pt>
                <c:pt idx="2">
                  <c:v>0.75</c:v>
                </c:pt>
                <c:pt idx="3">
                  <c:v>0.5</c:v>
                </c:pt>
                <c:pt idx="4">
                  <c:v>0.375</c:v>
                </c:pt>
                <c:pt idx="5">
                  <c:v>#4</c:v>
                </c:pt>
                <c:pt idx="6">
                  <c:v>#8</c:v>
                </c:pt>
                <c:pt idx="7">
                  <c:v>#16</c:v>
                </c:pt>
                <c:pt idx="8">
                  <c:v>#30</c:v>
                </c:pt>
                <c:pt idx="9">
                  <c:v>#50</c:v>
                </c:pt>
                <c:pt idx="10">
                  <c:v>#100</c:v>
                </c:pt>
                <c:pt idx="11">
                  <c:v>#200</c:v>
                </c:pt>
              </c:strCache>
            </c:strRef>
          </c:xVal>
          <c:yVal>
            <c:numRef>
              <c:f>Sheet5!$J$114:$J$125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0"/>
          <c:extLst>
            <c:ext xmlns:c16="http://schemas.microsoft.com/office/drawing/2014/chart" uri="{C3380CC4-5D6E-409C-BE32-E72D297353CC}">
              <c16:uniqueId val="{00000002-94FE-419E-8949-326DFBC44BF9}"/>
            </c:ext>
          </c:extLst>
        </c:ser>
        <c:dLbls>
          <c:showLegendKey val="0"/>
          <c:showVal val="0"/>
          <c:showCatName val="0"/>
          <c:showSerName val="0"/>
          <c:showPercent val="0"/>
          <c:showBubbleSize val="0"/>
        </c:dLbls>
        <c:axId val="1203071408"/>
        <c:axId val="1203075760"/>
      </c:scatterChart>
      <c:valAx>
        <c:axId val="1203071408"/>
        <c:scaling>
          <c:orientation val="maxMin"/>
        </c:scaling>
        <c:delete val="0"/>
        <c:axPos val="b"/>
        <c:majorGridlines/>
        <c:numFmt formatCode="@" sourceLinked="0"/>
        <c:majorTickMark val="out"/>
        <c:minorTickMark val="none"/>
        <c:tickLblPos val="none"/>
        <c:crossAx val="1203075760"/>
        <c:crosses val="autoZero"/>
        <c:crossBetween val="midCat"/>
      </c:valAx>
      <c:valAx>
        <c:axId val="1203075760"/>
        <c:scaling>
          <c:orientation val="minMax"/>
        </c:scaling>
        <c:delete val="0"/>
        <c:axPos val="r"/>
        <c:majorGridlines/>
        <c:title>
          <c:tx>
            <c:rich>
              <a:bodyPr rot="-5400000" vert="horz"/>
              <a:lstStyle/>
              <a:p>
                <a:pPr>
                  <a:defRPr sz="1200"/>
                </a:pPr>
                <a:r>
                  <a:rPr lang="en-US" sz="1200"/>
                  <a:t>%</a:t>
                </a:r>
                <a:r>
                  <a:rPr lang="en-US" sz="1200" baseline="0"/>
                  <a:t> Retained</a:t>
                </a:r>
                <a:endParaRPr lang="en-US" sz="1200"/>
              </a:p>
            </c:rich>
          </c:tx>
          <c:overlay val="0"/>
        </c:title>
        <c:numFmt formatCode="0%" sourceLinked="1"/>
        <c:majorTickMark val="out"/>
        <c:minorTickMark val="none"/>
        <c:tickLblPos val="nextTo"/>
        <c:crossAx val="1203071408"/>
        <c:crosses val="autoZero"/>
        <c:crossBetween val="midCat"/>
      </c:valAx>
    </c:plotArea>
    <c:legend>
      <c:legendPos val="r"/>
      <c:overlay val="0"/>
    </c:legend>
    <c:plotVisOnly val="1"/>
    <c:dispBlanksAs val="gap"/>
    <c:showDLblsOverMax val="0"/>
  </c:chart>
  <c:printSettings>
    <c:headerFooter/>
    <c:pageMargins b="0.75000000000000711" l="0.70000000000000062" r="0.70000000000000062" t="0.75000000000000711"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Mix 14</a:t>
            </a:r>
          </a:p>
        </c:rich>
      </c:tx>
      <c:layout>
        <c:manualLayout>
          <c:xMode val="edge"/>
          <c:yMode val="edge"/>
          <c:x val="0.39340041607147841"/>
          <c:y val="1.181833614081822E-2"/>
        </c:manualLayout>
      </c:layout>
      <c:overlay val="1"/>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autoTitleDeleted val="0"/>
    <c:plotArea>
      <c:layout>
        <c:manualLayout>
          <c:layoutTarget val="inner"/>
          <c:xMode val="edge"/>
          <c:yMode val="edge"/>
          <c:x val="5.0292346415769476E-2"/>
          <c:y val="2.0936970043233846E-2"/>
          <c:w val="0.71077786200104165"/>
          <c:h val="0.91304929634138343"/>
        </c:manualLayout>
      </c:layout>
      <c:scatterChart>
        <c:scatterStyle val="lineMarker"/>
        <c:varyColors val="0"/>
        <c:ser>
          <c:idx val="1"/>
          <c:order val="0"/>
          <c:spPr>
            <a:ln w="25400" cap="flat" cmpd="sng" algn="ctr">
              <a:solidFill>
                <a:schemeClr val="dk1"/>
              </a:solidFill>
              <a:prstDash val="solid"/>
            </a:ln>
            <a:effectLst/>
          </c:spPr>
          <c:marker>
            <c:symbol val="none"/>
          </c:marker>
          <c:xVal>
            <c:numRef>
              <c:f>Sheet5!$BE$59:$BE$62</c:f>
              <c:numCache>
                <c:formatCode>General</c:formatCode>
                <c:ptCount val="4"/>
                <c:pt idx="0">
                  <c:v>12</c:v>
                </c:pt>
                <c:pt idx="1">
                  <c:v>11</c:v>
                </c:pt>
                <c:pt idx="2">
                  <c:v>2</c:v>
                </c:pt>
                <c:pt idx="3">
                  <c:v>1</c:v>
                </c:pt>
              </c:numCache>
            </c:numRef>
          </c:xVal>
          <c:yVal>
            <c:numRef>
              <c:f>Sheet5!$BF$59:$BF$62</c:f>
              <c:numCache>
                <c:formatCode>0%</c:formatCode>
                <c:ptCount val="4"/>
                <c:pt idx="0">
                  <c:v>0</c:v>
                </c:pt>
                <c:pt idx="1">
                  <c:v>0.18</c:v>
                </c:pt>
                <c:pt idx="2">
                  <c:v>0.18</c:v>
                </c:pt>
                <c:pt idx="3">
                  <c:v>0</c:v>
                </c:pt>
              </c:numCache>
            </c:numRef>
          </c:yVal>
          <c:smooth val="0"/>
          <c:extLst>
            <c:ext xmlns:c16="http://schemas.microsoft.com/office/drawing/2014/chart" uri="{C3380CC4-5D6E-409C-BE32-E72D297353CC}">
              <c16:uniqueId val="{00000000-559D-48F3-BB77-372AD55C06D7}"/>
            </c:ext>
          </c:extLst>
        </c:ser>
        <c:ser>
          <c:idx val="2"/>
          <c:order val="1"/>
          <c:spPr>
            <a:ln w="25400" cap="flat" cmpd="sng" algn="ctr">
              <a:solidFill>
                <a:schemeClr val="dk1"/>
              </a:solidFill>
              <a:prstDash val="solid"/>
            </a:ln>
            <a:effectLst/>
          </c:spPr>
          <c:marker>
            <c:symbol val="none"/>
          </c:marker>
          <c:xVal>
            <c:numRef>
              <c:f>Sheet5!$BE$63:$BE$66</c:f>
              <c:numCache>
                <c:formatCode>General</c:formatCode>
                <c:ptCount val="4"/>
                <c:pt idx="0">
                  <c:v>10</c:v>
                </c:pt>
                <c:pt idx="1">
                  <c:v>9</c:v>
                </c:pt>
                <c:pt idx="2">
                  <c:v>4</c:v>
                </c:pt>
                <c:pt idx="3">
                  <c:v>3</c:v>
                </c:pt>
              </c:numCache>
            </c:numRef>
          </c:xVal>
          <c:yVal>
            <c:numRef>
              <c:f>Sheet5!$BF$63:$BF$66</c:f>
              <c:numCache>
                <c:formatCode>0%</c:formatCode>
                <c:ptCount val="4"/>
                <c:pt idx="0">
                  <c:v>0</c:v>
                </c:pt>
                <c:pt idx="1">
                  <c:v>0.08</c:v>
                </c:pt>
                <c:pt idx="2">
                  <c:v>0.08</c:v>
                </c:pt>
                <c:pt idx="3">
                  <c:v>0</c:v>
                </c:pt>
              </c:numCache>
            </c:numRef>
          </c:yVal>
          <c:smooth val="0"/>
          <c:extLst>
            <c:ext xmlns:c16="http://schemas.microsoft.com/office/drawing/2014/chart" uri="{C3380CC4-5D6E-409C-BE32-E72D297353CC}">
              <c16:uniqueId val="{00000001-559D-48F3-BB77-372AD55C06D7}"/>
            </c:ext>
          </c:extLst>
        </c:ser>
        <c:ser>
          <c:idx val="0"/>
          <c:order val="2"/>
          <c:marker>
            <c:symbol val="none"/>
          </c:marker>
          <c:xVal>
            <c:strRef>
              <c:f>Sheet5!$H$141:$H$152</c:f>
              <c:strCache>
                <c:ptCount val="12"/>
                <c:pt idx="0">
                  <c:v>1.5</c:v>
                </c:pt>
                <c:pt idx="1">
                  <c:v>1</c:v>
                </c:pt>
                <c:pt idx="2">
                  <c:v>0.75</c:v>
                </c:pt>
                <c:pt idx="3">
                  <c:v>0.5</c:v>
                </c:pt>
                <c:pt idx="4">
                  <c:v>0.375</c:v>
                </c:pt>
                <c:pt idx="5">
                  <c:v>#4</c:v>
                </c:pt>
                <c:pt idx="6">
                  <c:v>#8</c:v>
                </c:pt>
                <c:pt idx="7">
                  <c:v>#16</c:v>
                </c:pt>
                <c:pt idx="8">
                  <c:v>#30</c:v>
                </c:pt>
                <c:pt idx="9">
                  <c:v>#50</c:v>
                </c:pt>
                <c:pt idx="10">
                  <c:v>#100</c:v>
                </c:pt>
                <c:pt idx="11">
                  <c:v>#200</c:v>
                </c:pt>
              </c:strCache>
            </c:strRef>
          </c:xVal>
          <c:yVal>
            <c:numRef>
              <c:f>Sheet5!$J$141:$J$152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0"/>
          <c:extLst>
            <c:ext xmlns:c16="http://schemas.microsoft.com/office/drawing/2014/chart" uri="{C3380CC4-5D6E-409C-BE32-E72D297353CC}">
              <c16:uniqueId val="{00000002-559D-48F3-BB77-372AD55C06D7}"/>
            </c:ext>
          </c:extLst>
        </c:ser>
        <c:dLbls>
          <c:showLegendKey val="0"/>
          <c:showVal val="0"/>
          <c:showCatName val="0"/>
          <c:showSerName val="0"/>
          <c:showPercent val="0"/>
          <c:showBubbleSize val="0"/>
        </c:dLbls>
        <c:axId val="1203077392"/>
        <c:axId val="1203077936"/>
      </c:scatterChart>
      <c:valAx>
        <c:axId val="1203077392"/>
        <c:scaling>
          <c:orientation val="maxMin"/>
        </c:scaling>
        <c:delete val="0"/>
        <c:axPos val="b"/>
        <c:majorGridlines/>
        <c:numFmt formatCode="@" sourceLinked="0"/>
        <c:majorTickMark val="out"/>
        <c:minorTickMark val="none"/>
        <c:tickLblPos val="none"/>
        <c:crossAx val="1203077936"/>
        <c:crosses val="autoZero"/>
        <c:crossBetween val="midCat"/>
      </c:valAx>
      <c:valAx>
        <c:axId val="1203077936"/>
        <c:scaling>
          <c:orientation val="minMax"/>
        </c:scaling>
        <c:delete val="0"/>
        <c:axPos val="r"/>
        <c:majorGridlines/>
        <c:title>
          <c:tx>
            <c:rich>
              <a:bodyPr rot="-5400000" vert="horz"/>
              <a:lstStyle/>
              <a:p>
                <a:pPr>
                  <a:defRPr sz="1200"/>
                </a:pPr>
                <a:r>
                  <a:rPr lang="en-US" sz="1200"/>
                  <a:t>%</a:t>
                </a:r>
                <a:r>
                  <a:rPr lang="en-US" sz="1200" baseline="0"/>
                  <a:t> Retained</a:t>
                </a:r>
                <a:endParaRPr lang="en-US" sz="1200"/>
              </a:p>
            </c:rich>
          </c:tx>
          <c:overlay val="0"/>
        </c:title>
        <c:numFmt formatCode="0%" sourceLinked="1"/>
        <c:majorTickMark val="out"/>
        <c:minorTickMark val="none"/>
        <c:tickLblPos val="nextTo"/>
        <c:crossAx val="1203077392"/>
        <c:crosses val="autoZero"/>
        <c:crossBetween val="midCat"/>
      </c:valAx>
    </c:plotArea>
    <c:legend>
      <c:legendPos val="r"/>
      <c:overlay val="0"/>
    </c:legend>
    <c:plotVisOnly val="1"/>
    <c:dispBlanksAs val="gap"/>
    <c:showDLblsOverMax val="0"/>
  </c:chart>
  <c:printSettings>
    <c:headerFooter/>
    <c:pageMargins b="0.75000000000000711" l="0.70000000000000062" r="0.70000000000000062" t="0.75000000000000711" header="0.30000000000000032" footer="0.30000000000000032"/>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Mix 15</a:t>
            </a:r>
          </a:p>
        </c:rich>
      </c:tx>
      <c:layout>
        <c:manualLayout>
          <c:xMode val="edge"/>
          <c:yMode val="edge"/>
          <c:x val="0.39340041607147841"/>
          <c:y val="1.181833614081822E-2"/>
        </c:manualLayout>
      </c:layout>
      <c:overlay val="1"/>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autoTitleDeleted val="0"/>
    <c:plotArea>
      <c:layout>
        <c:manualLayout>
          <c:layoutTarget val="inner"/>
          <c:xMode val="edge"/>
          <c:yMode val="edge"/>
          <c:x val="5.0292346415769476E-2"/>
          <c:y val="2.0936970043233846E-2"/>
          <c:w val="0.71077786200104165"/>
          <c:h val="0.91304929634138343"/>
        </c:manualLayout>
      </c:layout>
      <c:scatterChart>
        <c:scatterStyle val="lineMarker"/>
        <c:varyColors val="0"/>
        <c:ser>
          <c:idx val="1"/>
          <c:order val="0"/>
          <c:spPr>
            <a:ln w="25400" cap="flat" cmpd="sng" algn="ctr">
              <a:solidFill>
                <a:schemeClr val="dk1"/>
              </a:solidFill>
              <a:prstDash val="solid"/>
            </a:ln>
            <a:effectLst/>
          </c:spPr>
          <c:marker>
            <c:symbol val="none"/>
          </c:marker>
          <c:xVal>
            <c:numRef>
              <c:f>Sheet5!$BE$59:$BE$62</c:f>
              <c:numCache>
                <c:formatCode>General</c:formatCode>
                <c:ptCount val="4"/>
                <c:pt idx="0">
                  <c:v>12</c:v>
                </c:pt>
                <c:pt idx="1">
                  <c:v>11</c:v>
                </c:pt>
                <c:pt idx="2">
                  <c:v>2</c:v>
                </c:pt>
                <c:pt idx="3">
                  <c:v>1</c:v>
                </c:pt>
              </c:numCache>
            </c:numRef>
          </c:xVal>
          <c:yVal>
            <c:numRef>
              <c:f>Sheet5!$BF$59:$BF$62</c:f>
              <c:numCache>
                <c:formatCode>0%</c:formatCode>
                <c:ptCount val="4"/>
                <c:pt idx="0">
                  <c:v>0</c:v>
                </c:pt>
                <c:pt idx="1">
                  <c:v>0.18</c:v>
                </c:pt>
                <c:pt idx="2">
                  <c:v>0.18</c:v>
                </c:pt>
                <c:pt idx="3">
                  <c:v>0</c:v>
                </c:pt>
              </c:numCache>
            </c:numRef>
          </c:yVal>
          <c:smooth val="0"/>
          <c:extLst>
            <c:ext xmlns:c16="http://schemas.microsoft.com/office/drawing/2014/chart" uri="{C3380CC4-5D6E-409C-BE32-E72D297353CC}">
              <c16:uniqueId val="{00000000-AFB0-4C12-9D3E-01B3DA597760}"/>
            </c:ext>
          </c:extLst>
        </c:ser>
        <c:ser>
          <c:idx val="2"/>
          <c:order val="1"/>
          <c:spPr>
            <a:ln w="25400" cap="flat" cmpd="sng" algn="ctr">
              <a:solidFill>
                <a:schemeClr val="dk1"/>
              </a:solidFill>
              <a:prstDash val="solid"/>
            </a:ln>
            <a:effectLst/>
          </c:spPr>
          <c:marker>
            <c:symbol val="none"/>
          </c:marker>
          <c:xVal>
            <c:numRef>
              <c:f>Sheet5!$BE$63:$BE$66</c:f>
              <c:numCache>
                <c:formatCode>General</c:formatCode>
                <c:ptCount val="4"/>
                <c:pt idx="0">
                  <c:v>10</c:v>
                </c:pt>
                <c:pt idx="1">
                  <c:v>9</c:v>
                </c:pt>
                <c:pt idx="2">
                  <c:v>4</c:v>
                </c:pt>
                <c:pt idx="3">
                  <c:v>3</c:v>
                </c:pt>
              </c:numCache>
            </c:numRef>
          </c:xVal>
          <c:yVal>
            <c:numRef>
              <c:f>Sheet5!$BF$63:$BF$66</c:f>
              <c:numCache>
                <c:formatCode>0%</c:formatCode>
                <c:ptCount val="4"/>
                <c:pt idx="0">
                  <c:v>0</c:v>
                </c:pt>
                <c:pt idx="1">
                  <c:v>0.08</c:v>
                </c:pt>
                <c:pt idx="2">
                  <c:v>0.08</c:v>
                </c:pt>
                <c:pt idx="3">
                  <c:v>0</c:v>
                </c:pt>
              </c:numCache>
            </c:numRef>
          </c:yVal>
          <c:smooth val="0"/>
          <c:extLst>
            <c:ext xmlns:c16="http://schemas.microsoft.com/office/drawing/2014/chart" uri="{C3380CC4-5D6E-409C-BE32-E72D297353CC}">
              <c16:uniqueId val="{00000001-AFB0-4C12-9D3E-01B3DA597760}"/>
            </c:ext>
          </c:extLst>
        </c:ser>
        <c:ser>
          <c:idx val="0"/>
          <c:order val="2"/>
          <c:marker>
            <c:symbol val="none"/>
          </c:marker>
          <c:xVal>
            <c:strRef>
              <c:f>Sheet5!$H$169:$H$180</c:f>
              <c:strCache>
                <c:ptCount val="12"/>
                <c:pt idx="0">
                  <c:v>1.5</c:v>
                </c:pt>
                <c:pt idx="1">
                  <c:v>1</c:v>
                </c:pt>
                <c:pt idx="2">
                  <c:v>0.75</c:v>
                </c:pt>
                <c:pt idx="3">
                  <c:v>0.5</c:v>
                </c:pt>
                <c:pt idx="4">
                  <c:v>0.375</c:v>
                </c:pt>
                <c:pt idx="5">
                  <c:v>#4</c:v>
                </c:pt>
                <c:pt idx="6">
                  <c:v>#8</c:v>
                </c:pt>
                <c:pt idx="7">
                  <c:v>#16</c:v>
                </c:pt>
                <c:pt idx="8">
                  <c:v>#30</c:v>
                </c:pt>
                <c:pt idx="9">
                  <c:v>#50</c:v>
                </c:pt>
                <c:pt idx="10">
                  <c:v>#100</c:v>
                </c:pt>
                <c:pt idx="11">
                  <c:v>#200</c:v>
                </c:pt>
              </c:strCache>
            </c:strRef>
          </c:xVal>
          <c:yVal>
            <c:numRef>
              <c:f>Sheet5!$J$169:$J$180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0"/>
          <c:extLst>
            <c:ext xmlns:c16="http://schemas.microsoft.com/office/drawing/2014/chart" uri="{C3380CC4-5D6E-409C-BE32-E72D297353CC}">
              <c16:uniqueId val="{00000002-AFB0-4C12-9D3E-01B3DA597760}"/>
            </c:ext>
          </c:extLst>
        </c:ser>
        <c:dLbls>
          <c:showLegendKey val="0"/>
          <c:showVal val="0"/>
          <c:showCatName val="0"/>
          <c:showSerName val="0"/>
          <c:showPercent val="0"/>
          <c:showBubbleSize val="0"/>
        </c:dLbls>
        <c:axId val="1203078480"/>
        <c:axId val="1203070864"/>
      </c:scatterChart>
      <c:valAx>
        <c:axId val="1203078480"/>
        <c:scaling>
          <c:orientation val="maxMin"/>
        </c:scaling>
        <c:delete val="0"/>
        <c:axPos val="b"/>
        <c:majorGridlines/>
        <c:numFmt formatCode="@" sourceLinked="0"/>
        <c:majorTickMark val="out"/>
        <c:minorTickMark val="none"/>
        <c:tickLblPos val="none"/>
        <c:crossAx val="1203070864"/>
        <c:crosses val="autoZero"/>
        <c:crossBetween val="midCat"/>
      </c:valAx>
      <c:valAx>
        <c:axId val="1203070864"/>
        <c:scaling>
          <c:orientation val="minMax"/>
        </c:scaling>
        <c:delete val="0"/>
        <c:axPos val="r"/>
        <c:majorGridlines/>
        <c:title>
          <c:tx>
            <c:rich>
              <a:bodyPr rot="-5400000" vert="horz"/>
              <a:lstStyle/>
              <a:p>
                <a:pPr>
                  <a:defRPr sz="1200"/>
                </a:pPr>
                <a:r>
                  <a:rPr lang="en-US" sz="1200"/>
                  <a:t>%</a:t>
                </a:r>
                <a:r>
                  <a:rPr lang="en-US" sz="1200" baseline="0"/>
                  <a:t> Retained</a:t>
                </a:r>
                <a:endParaRPr lang="en-US" sz="1200"/>
              </a:p>
            </c:rich>
          </c:tx>
          <c:overlay val="0"/>
        </c:title>
        <c:numFmt formatCode="0%" sourceLinked="1"/>
        <c:majorTickMark val="out"/>
        <c:minorTickMark val="none"/>
        <c:tickLblPos val="nextTo"/>
        <c:crossAx val="1203078480"/>
        <c:crosses val="autoZero"/>
        <c:crossBetween val="midCat"/>
      </c:valAx>
    </c:plotArea>
    <c:legend>
      <c:legendPos val="r"/>
      <c:overlay val="0"/>
    </c:legend>
    <c:plotVisOnly val="1"/>
    <c:dispBlanksAs val="gap"/>
    <c:showDLblsOverMax val="0"/>
  </c:chart>
  <c:printSettings>
    <c:headerFooter/>
    <c:pageMargins b="0.75000000000000711" l="0.70000000000000062" r="0.70000000000000062" t="0.75000000000000711"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Mix 17</a:t>
            </a:r>
          </a:p>
        </c:rich>
      </c:tx>
      <c:layout>
        <c:manualLayout>
          <c:xMode val="edge"/>
          <c:yMode val="edge"/>
          <c:x val="0.39873380245196116"/>
          <c:y val="8.5262283072542536E-3"/>
        </c:manualLayout>
      </c:layout>
      <c:overlay val="1"/>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autoTitleDeleted val="0"/>
    <c:plotArea>
      <c:layout>
        <c:manualLayout>
          <c:layoutTarget val="inner"/>
          <c:xMode val="edge"/>
          <c:yMode val="edge"/>
          <c:x val="5.0292346415769476E-2"/>
          <c:y val="2.0936970043233846E-2"/>
          <c:w val="0.71077786200104165"/>
          <c:h val="0.91304929634138343"/>
        </c:manualLayout>
      </c:layout>
      <c:scatterChart>
        <c:scatterStyle val="lineMarker"/>
        <c:varyColors val="0"/>
        <c:ser>
          <c:idx val="1"/>
          <c:order val="0"/>
          <c:spPr>
            <a:ln w="25400" cap="flat" cmpd="sng" algn="ctr">
              <a:solidFill>
                <a:schemeClr val="dk1"/>
              </a:solidFill>
              <a:prstDash val="solid"/>
            </a:ln>
            <a:effectLst/>
          </c:spPr>
          <c:marker>
            <c:symbol val="none"/>
          </c:marker>
          <c:xVal>
            <c:numRef>
              <c:f>Sheet5!$BE$59:$BE$62</c:f>
              <c:numCache>
                <c:formatCode>General</c:formatCode>
                <c:ptCount val="4"/>
                <c:pt idx="0">
                  <c:v>12</c:v>
                </c:pt>
                <c:pt idx="1">
                  <c:v>11</c:v>
                </c:pt>
                <c:pt idx="2">
                  <c:v>2</c:v>
                </c:pt>
                <c:pt idx="3">
                  <c:v>1</c:v>
                </c:pt>
              </c:numCache>
            </c:numRef>
          </c:xVal>
          <c:yVal>
            <c:numRef>
              <c:f>Sheet5!$BF$59:$BF$62</c:f>
              <c:numCache>
                <c:formatCode>0%</c:formatCode>
                <c:ptCount val="4"/>
                <c:pt idx="0">
                  <c:v>0</c:v>
                </c:pt>
                <c:pt idx="1">
                  <c:v>0.18</c:v>
                </c:pt>
                <c:pt idx="2">
                  <c:v>0.18</c:v>
                </c:pt>
                <c:pt idx="3">
                  <c:v>0</c:v>
                </c:pt>
              </c:numCache>
            </c:numRef>
          </c:yVal>
          <c:smooth val="0"/>
          <c:extLst>
            <c:ext xmlns:c16="http://schemas.microsoft.com/office/drawing/2014/chart" uri="{C3380CC4-5D6E-409C-BE32-E72D297353CC}">
              <c16:uniqueId val="{00000000-A733-4633-BDEB-4F91E12636CD}"/>
            </c:ext>
          </c:extLst>
        </c:ser>
        <c:ser>
          <c:idx val="2"/>
          <c:order val="1"/>
          <c:spPr>
            <a:ln w="25400" cap="flat" cmpd="sng" algn="ctr">
              <a:solidFill>
                <a:schemeClr val="dk1"/>
              </a:solidFill>
              <a:prstDash val="solid"/>
            </a:ln>
            <a:effectLst/>
          </c:spPr>
          <c:marker>
            <c:symbol val="none"/>
          </c:marker>
          <c:xVal>
            <c:numRef>
              <c:f>Sheet5!$BE$63:$BE$66</c:f>
              <c:numCache>
                <c:formatCode>General</c:formatCode>
                <c:ptCount val="4"/>
                <c:pt idx="0">
                  <c:v>10</c:v>
                </c:pt>
                <c:pt idx="1">
                  <c:v>9</c:v>
                </c:pt>
                <c:pt idx="2">
                  <c:v>4</c:v>
                </c:pt>
                <c:pt idx="3">
                  <c:v>3</c:v>
                </c:pt>
              </c:numCache>
            </c:numRef>
          </c:xVal>
          <c:yVal>
            <c:numRef>
              <c:f>Sheet5!$BF$63:$BF$66</c:f>
              <c:numCache>
                <c:formatCode>0%</c:formatCode>
                <c:ptCount val="4"/>
                <c:pt idx="0">
                  <c:v>0</c:v>
                </c:pt>
                <c:pt idx="1">
                  <c:v>0.08</c:v>
                </c:pt>
                <c:pt idx="2">
                  <c:v>0.08</c:v>
                </c:pt>
                <c:pt idx="3">
                  <c:v>0</c:v>
                </c:pt>
              </c:numCache>
            </c:numRef>
          </c:yVal>
          <c:smooth val="0"/>
          <c:extLst>
            <c:ext xmlns:c16="http://schemas.microsoft.com/office/drawing/2014/chart" uri="{C3380CC4-5D6E-409C-BE32-E72D297353CC}">
              <c16:uniqueId val="{00000001-A733-4633-BDEB-4F91E12636CD}"/>
            </c:ext>
          </c:extLst>
        </c:ser>
        <c:ser>
          <c:idx val="0"/>
          <c:order val="2"/>
          <c:marker>
            <c:symbol val="none"/>
          </c:marker>
          <c:xVal>
            <c:strRef>
              <c:f>Sheet5!$H$198:$H$209</c:f>
              <c:strCache>
                <c:ptCount val="12"/>
                <c:pt idx="0">
                  <c:v>1.5</c:v>
                </c:pt>
                <c:pt idx="1">
                  <c:v>1</c:v>
                </c:pt>
                <c:pt idx="2">
                  <c:v>0.75</c:v>
                </c:pt>
                <c:pt idx="3">
                  <c:v>0.5</c:v>
                </c:pt>
                <c:pt idx="4">
                  <c:v>0.375</c:v>
                </c:pt>
                <c:pt idx="5">
                  <c:v>#4</c:v>
                </c:pt>
                <c:pt idx="6">
                  <c:v>#8</c:v>
                </c:pt>
                <c:pt idx="7">
                  <c:v>#16</c:v>
                </c:pt>
                <c:pt idx="8">
                  <c:v>#30</c:v>
                </c:pt>
                <c:pt idx="9">
                  <c:v>#50</c:v>
                </c:pt>
                <c:pt idx="10">
                  <c:v>#100</c:v>
                </c:pt>
                <c:pt idx="11">
                  <c:v>#200</c:v>
                </c:pt>
              </c:strCache>
            </c:strRef>
          </c:xVal>
          <c:yVal>
            <c:numRef>
              <c:f>Sheet5!$J$198:$J$209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0"/>
          <c:extLst>
            <c:ext xmlns:c16="http://schemas.microsoft.com/office/drawing/2014/chart" uri="{C3380CC4-5D6E-409C-BE32-E72D297353CC}">
              <c16:uniqueId val="{00000002-A733-4633-BDEB-4F91E12636CD}"/>
            </c:ext>
          </c:extLst>
        </c:ser>
        <c:dLbls>
          <c:showLegendKey val="0"/>
          <c:showVal val="0"/>
          <c:showCatName val="0"/>
          <c:showSerName val="0"/>
          <c:showPercent val="0"/>
          <c:showBubbleSize val="0"/>
        </c:dLbls>
        <c:axId val="1203082288"/>
        <c:axId val="1203084464"/>
      </c:scatterChart>
      <c:valAx>
        <c:axId val="1203082288"/>
        <c:scaling>
          <c:orientation val="maxMin"/>
        </c:scaling>
        <c:delete val="0"/>
        <c:axPos val="b"/>
        <c:majorGridlines/>
        <c:numFmt formatCode="@" sourceLinked="0"/>
        <c:majorTickMark val="out"/>
        <c:minorTickMark val="none"/>
        <c:tickLblPos val="none"/>
        <c:crossAx val="1203084464"/>
        <c:crosses val="autoZero"/>
        <c:crossBetween val="midCat"/>
      </c:valAx>
      <c:valAx>
        <c:axId val="1203084464"/>
        <c:scaling>
          <c:orientation val="minMax"/>
        </c:scaling>
        <c:delete val="0"/>
        <c:axPos val="r"/>
        <c:majorGridlines/>
        <c:title>
          <c:tx>
            <c:rich>
              <a:bodyPr rot="-5400000" vert="horz"/>
              <a:lstStyle/>
              <a:p>
                <a:pPr>
                  <a:defRPr sz="1200"/>
                </a:pPr>
                <a:r>
                  <a:rPr lang="en-US" sz="1200"/>
                  <a:t>%</a:t>
                </a:r>
                <a:r>
                  <a:rPr lang="en-US" sz="1200" baseline="0"/>
                  <a:t> Retained</a:t>
                </a:r>
                <a:endParaRPr lang="en-US" sz="1200"/>
              </a:p>
            </c:rich>
          </c:tx>
          <c:overlay val="0"/>
        </c:title>
        <c:numFmt formatCode="0%" sourceLinked="1"/>
        <c:majorTickMark val="out"/>
        <c:minorTickMark val="none"/>
        <c:tickLblPos val="nextTo"/>
        <c:crossAx val="1203082288"/>
        <c:crosses val="autoZero"/>
        <c:crossBetween val="midCat"/>
      </c:valAx>
    </c:plotArea>
    <c:legend>
      <c:legendPos val="r"/>
      <c:overlay val="0"/>
    </c:legend>
    <c:plotVisOnly val="1"/>
    <c:dispBlanksAs val="gap"/>
    <c:showDLblsOverMax val="0"/>
  </c:chart>
  <c:printSettings>
    <c:headerFooter/>
    <c:pageMargins b="0.75000000000000711" l="0.70000000000000062" r="0.70000000000000062" t="0.75000000000000711" header="0.30000000000000032" footer="0.30000000000000032"/>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Mix</a:t>
            </a:r>
            <a:r>
              <a:rPr lang="en-US" baseline="0"/>
              <a:t> 2</a:t>
            </a:r>
            <a:endParaRPr lang="en-US"/>
          </a:p>
        </c:rich>
      </c:tx>
      <c:layout>
        <c:manualLayout>
          <c:xMode val="edge"/>
          <c:yMode val="edge"/>
          <c:x val="0.38211895483675923"/>
          <c:y val="2.8368786405096769E-2"/>
        </c:manualLayout>
      </c:layout>
      <c:overlay val="0"/>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autoTitleDeleted val="0"/>
    <c:plotArea>
      <c:layout>
        <c:manualLayout>
          <c:layoutTarget val="inner"/>
          <c:xMode val="edge"/>
          <c:yMode val="edge"/>
          <c:x val="7.1310374459421191E-2"/>
          <c:y val="4.7209987076488526E-2"/>
          <c:w val="0.67990883536009505"/>
          <c:h val="0.86756713103169758"/>
        </c:manualLayout>
      </c:layout>
      <c:scatterChart>
        <c:scatterStyle val="lineMarker"/>
        <c:varyColors val="0"/>
        <c:ser>
          <c:idx val="1"/>
          <c:order val="0"/>
          <c:tx>
            <c:v>Max Density Line</c:v>
          </c:tx>
          <c:marker>
            <c:symbol val="none"/>
          </c:marker>
          <c:xVal>
            <c:numRef>
              <c:f>Sheet5!$L$63:$L$64</c:f>
              <c:numCache>
                <c:formatCode>General</c:formatCode>
                <c:ptCount val="2"/>
                <c:pt idx="0" formatCode="0.00">
                  <c:v>95.295634032720628</c:v>
                </c:pt>
                <c:pt idx="1">
                  <c:v>0</c:v>
                </c:pt>
              </c:numCache>
            </c:numRef>
          </c:xVal>
          <c:yVal>
            <c:numRef>
              <c:f>Sheet5!$M$63:$M$64</c:f>
              <c:numCache>
                <c:formatCode>0%</c:formatCode>
                <c:ptCount val="2"/>
                <c:pt idx="0">
                  <c:v>1</c:v>
                </c:pt>
                <c:pt idx="1">
                  <c:v>0</c:v>
                </c:pt>
              </c:numCache>
            </c:numRef>
          </c:yVal>
          <c:smooth val="0"/>
          <c:extLst>
            <c:ext xmlns:c16="http://schemas.microsoft.com/office/drawing/2014/chart" uri="{C3380CC4-5D6E-409C-BE32-E72D297353CC}">
              <c16:uniqueId val="{00000000-0229-4670-985D-371AD64519CB}"/>
            </c:ext>
          </c:extLst>
        </c:ser>
        <c:ser>
          <c:idx val="2"/>
          <c:order val="1"/>
          <c:tx>
            <c:v>High Density Line</c:v>
          </c:tx>
          <c:spPr>
            <a:ln w="25400" cap="flat" cmpd="sng" algn="ctr">
              <a:solidFill>
                <a:schemeClr val="dk1"/>
              </a:solidFill>
              <a:prstDash val="solid"/>
            </a:ln>
            <a:effectLst/>
          </c:spPr>
          <c:marker>
            <c:symbol val="none"/>
          </c:marker>
          <c:xVal>
            <c:numRef>
              <c:f>Sheet5!$L$67:$L$68</c:f>
              <c:numCache>
                <c:formatCode>0.00</c:formatCode>
                <c:ptCount val="2"/>
                <c:pt idx="0" formatCode="General">
                  <c:v>0</c:v>
                </c:pt>
                <c:pt idx="1">
                  <c:v>84.224631674288489</c:v>
                </c:pt>
              </c:numCache>
            </c:numRef>
          </c:xVal>
          <c:yVal>
            <c:numRef>
              <c:f>Sheet5!$M$67:$M$68</c:f>
              <c:numCache>
                <c:formatCode>0%</c:formatCode>
                <c:ptCount val="2"/>
                <c:pt idx="0">
                  <c:v>0</c:v>
                </c:pt>
                <c:pt idx="1">
                  <c:v>1</c:v>
                </c:pt>
              </c:numCache>
            </c:numRef>
          </c:yVal>
          <c:smooth val="0"/>
          <c:extLst>
            <c:ext xmlns:c16="http://schemas.microsoft.com/office/drawing/2014/chart" uri="{C3380CC4-5D6E-409C-BE32-E72D297353CC}">
              <c16:uniqueId val="{00000001-0229-4670-985D-371AD64519CB}"/>
            </c:ext>
          </c:extLst>
        </c:ser>
        <c:ser>
          <c:idx val="3"/>
          <c:order val="2"/>
          <c:tx>
            <c:v>Low Density Line</c:v>
          </c:tx>
          <c:spPr>
            <a:ln w="25400" cap="flat" cmpd="sng" algn="ctr">
              <a:solidFill>
                <a:schemeClr val="dk1"/>
              </a:solidFill>
              <a:prstDash val="solid"/>
            </a:ln>
            <a:effectLst/>
          </c:spPr>
          <c:marker>
            <c:symbol val="none"/>
          </c:marker>
          <c:xVal>
            <c:numRef>
              <c:f>Sheet5!$L$71:$L$72</c:f>
              <c:numCache>
                <c:formatCode>0.00</c:formatCode>
                <c:ptCount val="2"/>
                <c:pt idx="0" formatCode="General">
                  <c:v>0</c:v>
                </c:pt>
                <c:pt idx="1">
                  <c:v>114.37051336098466</c:v>
                </c:pt>
              </c:numCache>
            </c:numRef>
          </c:xVal>
          <c:yVal>
            <c:numRef>
              <c:f>Sheet5!$M$71:$M$72</c:f>
              <c:numCache>
                <c:formatCode>0%</c:formatCode>
                <c:ptCount val="2"/>
                <c:pt idx="0">
                  <c:v>0</c:v>
                </c:pt>
                <c:pt idx="1">
                  <c:v>1</c:v>
                </c:pt>
              </c:numCache>
            </c:numRef>
          </c:yVal>
          <c:smooth val="0"/>
          <c:extLst>
            <c:ext xmlns:c16="http://schemas.microsoft.com/office/drawing/2014/chart" uri="{C3380CC4-5D6E-409C-BE32-E72D297353CC}">
              <c16:uniqueId val="{00000002-0229-4670-985D-371AD64519CB}"/>
            </c:ext>
          </c:extLst>
        </c:ser>
        <c:ser>
          <c:idx val="0"/>
          <c:order val="3"/>
          <c:tx>
            <c:v>Combined</c:v>
          </c:tx>
          <c:marker>
            <c:symbol val="none"/>
          </c:marker>
          <c:xVal>
            <c:numRef>
              <c:f>Sheet5!$E$59:$E$70</c:f>
              <c:numCache>
                <c:formatCode>0.00</c:formatCode>
                <c:ptCount val="12"/>
                <c:pt idx="0">
                  <c:v>114.37051336098466</c:v>
                </c:pt>
                <c:pt idx="1">
                  <c:v>95.295634032720628</c:v>
                </c:pt>
                <c:pt idx="2">
                  <c:v>84.224631674288489</c:v>
                </c:pt>
                <c:pt idx="3">
                  <c:v>69.760487336687731</c:v>
                </c:pt>
                <c:pt idx="4">
                  <c:v>61.656039240307337</c:v>
                </c:pt>
                <c:pt idx="5">
                  <c:v>45.134862560198059</c:v>
                </c:pt>
                <c:pt idx="6">
                  <c:v>32.946584684146316</c:v>
                </c:pt>
                <c:pt idx="7">
                  <c:v>24.11831168315992</c:v>
                </c:pt>
                <c:pt idx="8">
                  <c:v>17.789676992918196</c:v>
                </c:pt>
                <c:pt idx="9">
                  <c:v>13.02280581041226</c:v>
                </c:pt>
                <c:pt idx="10">
                  <c:v>9.533251854051084</c:v>
                </c:pt>
                <c:pt idx="11">
                  <c:v>6.9787488376816533</c:v>
                </c:pt>
              </c:numCache>
            </c:numRef>
          </c:xVal>
          <c:yVal>
            <c:numRef>
              <c:f>Sheet5!$I$61:$I$72</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0"/>
          <c:extLst>
            <c:ext xmlns:c16="http://schemas.microsoft.com/office/drawing/2014/chart" uri="{C3380CC4-5D6E-409C-BE32-E72D297353CC}">
              <c16:uniqueId val="{00000003-0229-4670-985D-371AD64519CB}"/>
            </c:ext>
          </c:extLst>
        </c:ser>
        <c:dLbls>
          <c:showLegendKey val="0"/>
          <c:showVal val="0"/>
          <c:showCatName val="0"/>
          <c:showSerName val="0"/>
          <c:showPercent val="0"/>
          <c:showBubbleSize val="0"/>
        </c:dLbls>
        <c:axId val="1204713536"/>
        <c:axId val="1204711360"/>
      </c:scatterChart>
      <c:valAx>
        <c:axId val="1204713536"/>
        <c:scaling>
          <c:orientation val="minMax"/>
        </c:scaling>
        <c:delete val="0"/>
        <c:axPos val="b"/>
        <c:majorGridlines/>
        <c:minorGridlines/>
        <c:title>
          <c:tx>
            <c:rich>
              <a:bodyPr/>
              <a:lstStyle/>
              <a:p>
                <a:pPr>
                  <a:defRPr sz="1200"/>
                </a:pPr>
                <a:r>
                  <a:rPr lang="en-US" sz="1200"/>
                  <a:t>(d/D)^.45</a:t>
                </a:r>
              </a:p>
            </c:rich>
          </c:tx>
          <c:layout>
            <c:manualLayout>
              <c:xMode val="edge"/>
              <c:yMode val="edge"/>
              <c:x val="0.80271047969538301"/>
              <c:y val="0.93377113393820765"/>
            </c:manualLayout>
          </c:layout>
          <c:overlay val="0"/>
        </c:title>
        <c:numFmt formatCode="0.00" sourceLinked="1"/>
        <c:majorTickMark val="out"/>
        <c:minorTickMark val="none"/>
        <c:tickLblPos val="none"/>
        <c:crossAx val="1204711360"/>
        <c:crosses val="autoZero"/>
        <c:crossBetween val="midCat"/>
      </c:valAx>
      <c:valAx>
        <c:axId val="1204711360"/>
        <c:scaling>
          <c:orientation val="minMax"/>
        </c:scaling>
        <c:delete val="0"/>
        <c:axPos val="l"/>
        <c:majorGridlines/>
        <c:title>
          <c:tx>
            <c:rich>
              <a:bodyPr rot="-5400000" vert="horz"/>
              <a:lstStyle/>
              <a:p>
                <a:pPr>
                  <a:defRPr sz="1200"/>
                </a:pPr>
                <a:r>
                  <a:rPr lang="en-US" sz="1200"/>
                  <a:t>% Passing</a:t>
                </a:r>
              </a:p>
            </c:rich>
          </c:tx>
          <c:overlay val="0"/>
        </c:title>
        <c:numFmt formatCode="0%" sourceLinked="1"/>
        <c:majorTickMark val="out"/>
        <c:minorTickMark val="none"/>
        <c:tickLblPos val="nextTo"/>
        <c:crossAx val="1204713536"/>
        <c:crosses val="autoZero"/>
        <c:crossBetween val="midCat"/>
      </c:valAx>
    </c:plotArea>
    <c:legend>
      <c:legendPos val="r"/>
      <c:overlay val="0"/>
    </c:legend>
    <c:plotVisOnly val="1"/>
    <c:dispBlanksAs val="gap"/>
    <c:showDLblsOverMax val="0"/>
  </c:chart>
  <c:printSettings>
    <c:headerFooter/>
    <c:pageMargins b="0.75000000000000711" l="0.70000000000000062" r="0.70000000000000062" t="0.75000000000000711" header="0.30000000000000032" footer="0.30000000000000032"/>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Mix</a:t>
            </a:r>
            <a:r>
              <a:rPr lang="en-US" baseline="0"/>
              <a:t> 7</a:t>
            </a:r>
            <a:endParaRPr lang="en-US"/>
          </a:p>
        </c:rich>
      </c:tx>
      <c:layout>
        <c:manualLayout>
          <c:xMode val="edge"/>
          <c:yMode val="edge"/>
          <c:x val="0.38211895483675923"/>
          <c:y val="2.8368786405096769E-2"/>
        </c:manualLayout>
      </c:layout>
      <c:overlay val="0"/>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autoTitleDeleted val="0"/>
    <c:plotArea>
      <c:layout>
        <c:manualLayout>
          <c:layoutTarget val="inner"/>
          <c:xMode val="edge"/>
          <c:yMode val="edge"/>
          <c:x val="7.1310374459421191E-2"/>
          <c:y val="4.7209987076488526E-2"/>
          <c:w val="0.67990883536009505"/>
          <c:h val="0.86756713103169758"/>
        </c:manualLayout>
      </c:layout>
      <c:scatterChart>
        <c:scatterStyle val="lineMarker"/>
        <c:varyColors val="0"/>
        <c:ser>
          <c:idx val="1"/>
          <c:order val="0"/>
          <c:tx>
            <c:v>Max Density Line</c:v>
          </c:tx>
          <c:marker>
            <c:symbol val="none"/>
          </c:marker>
          <c:xVal>
            <c:numRef>
              <c:f>Sheet5!$L$63:$L$64</c:f>
              <c:numCache>
                <c:formatCode>General</c:formatCode>
                <c:ptCount val="2"/>
                <c:pt idx="0" formatCode="0.00">
                  <c:v>95.295634032720628</c:v>
                </c:pt>
                <c:pt idx="1">
                  <c:v>0</c:v>
                </c:pt>
              </c:numCache>
            </c:numRef>
          </c:xVal>
          <c:yVal>
            <c:numRef>
              <c:f>Sheet5!$M$63:$M$64</c:f>
              <c:numCache>
                <c:formatCode>0%</c:formatCode>
                <c:ptCount val="2"/>
                <c:pt idx="0">
                  <c:v>1</c:v>
                </c:pt>
                <c:pt idx="1">
                  <c:v>0</c:v>
                </c:pt>
              </c:numCache>
            </c:numRef>
          </c:yVal>
          <c:smooth val="0"/>
          <c:extLst>
            <c:ext xmlns:c16="http://schemas.microsoft.com/office/drawing/2014/chart" uri="{C3380CC4-5D6E-409C-BE32-E72D297353CC}">
              <c16:uniqueId val="{00000000-787F-413E-BCF6-C0023E55B916}"/>
            </c:ext>
          </c:extLst>
        </c:ser>
        <c:ser>
          <c:idx val="2"/>
          <c:order val="1"/>
          <c:tx>
            <c:v>High Density Line</c:v>
          </c:tx>
          <c:spPr>
            <a:ln w="25400" cap="flat" cmpd="sng" algn="ctr">
              <a:solidFill>
                <a:schemeClr val="dk1"/>
              </a:solidFill>
              <a:prstDash val="solid"/>
            </a:ln>
            <a:effectLst/>
          </c:spPr>
          <c:marker>
            <c:symbol val="none"/>
          </c:marker>
          <c:xVal>
            <c:numRef>
              <c:f>Sheet5!$L$67:$L$68</c:f>
              <c:numCache>
                <c:formatCode>0.00</c:formatCode>
                <c:ptCount val="2"/>
                <c:pt idx="0" formatCode="General">
                  <c:v>0</c:v>
                </c:pt>
                <c:pt idx="1">
                  <c:v>84.224631674288489</c:v>
                </c:pt>
              </c:numCache>
            </c:numRef>
          </c:xVal>
          <c:yVal>
            <c:numRef>
              <c:f>Sheet5!$M$67:$M$68</c:f>
              <c:numCache>
                <c:formatCode>0%</c:formatCode>
                <c:ptCount val="2"/>
                <c:pt idx="0">
                  <c:v>0</c:v>
                </c:pt>
                <c:pt idx="1">
                  <c:v>1</c:v>
                </c:pt>
              </c:numCache>
            </c:numRef>
          </c:yVal>
          <c:smooth val="0"/>
          <c:extLst>
            <c:ext xmlns:c16="http://schemas.microsoft.com/office/drawing/2014/chart" uri="{C3380CC4-5D6E-409C-BE32-E72D297353CC}">
              <c16:uniqueId val="{00000001-787F-413E-BCF6-C0023E55B916}"/>
            </c:ext>
          </c:extLst>
        </c:ser>
        <c:ser>
          <c:idx val="3"/>
          <c:order val="2"/>
          <c:tx>
            <c:v>Low Density Line</c:v>
          </c:tx>
          <c:spPr>
            <a:ln w="25400" cap="flat" cmpd="sng" algn="ctr">
              <a:solidFill>
                <a:schemeClr val="dk1"/>
              </a:solidFill>
              <a:prstDash val="solid"/>
            </a:ln>
            <a:effectLst/>
          </c:spPr>
          <c:marker>
            <c:symbol val="none"/>
          </c:marker>
          <c:xVal>
            <c:numRef>
              <c:f>Sheet5!$L$71:$L$72</c:f>
              <c:numCache>
                <c:formatCode>0.00</c:formatCode>
                <c:ptCount val="2"/>
                <c:pt idx="0" formatCode="General">
                  <c:v>0</c:v>
                </c:pt>
                <c:pt idx="1">
                  <c:v>114.37051336098466</c:v>
                </c:pt>
              </c:numCache>
            </c:numRef>
          </c:xVal>
          <c:yVal>
            <c:numRef>
              <c:f>Sheet5!$M$71:$M$72</c:f>
              <c:numCache>
                <c:formatCode>0%</c:formatCode>
                <c:ptCount val="2"/>
                <c:pt idx="0">
                  <c:v>0</c:v>
                </c:pt>
                <c:pt idx="1">
                  <c:v>1</c:v>
                </c:pt>
              </c:numCache>
            </c:numRef>
          </c:yVal>
          <c:smooth val="0"/>
          <c:extLst>
            <c:ext xmlns:c16="http://schemas.microsoft.com/office/drawing/2014/chart" uri="{C3380CC4-5D6E-409C-BE32-E72D297353CC}">
              <c16:uniqueId val="{00000002-787F-413E-BCF6-C0023E55B916}"/>
            </c:ext>
          </c:extLst>
        </c:ser>
        <c:ser>
          <c:idx val="0"/>
          <c:order val="3"/>
          <c:tx>
            <c:v>Combined</c:v>
          </c:tx>
          <c:marker>
            <c:symbol val="none"/>
          </c:marker>
          <c:xVal>
            <c:numRef>
              <c:f>Sheet5!$E$59:$E$70</c:f>
              <c:numCache>
                <c:formatCode>0.00</c:formatCode>
                <c:ptCount val="12"/>
                <c:pt idx="0">
                  <c:v>114.37051336098466</c:v>
                </c:pt>
                <c:pt idx="1">
                  <c:v>95.295634032720628</c:v>
                </c:pt>
                <c:pt idx="2">
                  <c:v>84.224631674288489</c:v>
                </c:pt>
                <c:pt idx="3">
                  <c:v>69.760487336687731</c:v>
                </c:pt>
                <c:pt idx="4">
                  <c:v>61.656039240307337</c:v>
                </c:pt>
                <c:pt idx="5">
                  <c:v>45.134862560198059</c:v>
                </c:pt>
                <c:pt idx="6">
                  <c:v>32.946584684146316</c:v>
                </c:pt>
                <c:pt idx="7">
                  <c:v>24.11831168315992</c:v>
                </c:pt>
                <c:pt idx="8">
                  <c:v>17.789676992918196</c:v>
                </c:pt>
                <c:pt idx="9">
                  <c:v>13.02280581041226</c:v>
                </c:pt>
                <c:pt idx="10">
                  <c:v>9.533251854051084</c:v>
                </c:pt>
                <c:pt idx="11">
                  <c:v>6.9787488376816533</c:v>
                </c:pt>
              </c:numCache>
            </c:numRef>
          </c:xVal>
          <c:yVal>
            <c:numRef>
              <c:f>Sheet5!$I$87:$I$98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0"/>
          <c:extLst>
            <c:ext xmlns:c16="http://schemas.microsoft.com/office/drawing/2014/chart" uri="{C3380CC4-5D6E-409C-BE32-E72D297353CC}">
              <c16:uniqueId val="{00000003-787F-413E-BCF6-C0023E55B916}"/>
            </c:ext>
          </c:extLst>
        </c:ser>
        <c:dLbls>
          <c:showLegendKey val="0"/>
          <c:showVal val="0"/>
          <c:showCatName val="0"/>
          <c:showSerName val="0"/>
          <c:showPercent val="0"/>
          <c:showBubbleSize val="0"/>
        </c:dLbls>
        <c:axId val="1204710272"/>
        <c:axId val="1204722784"/>
      </c:scatterChart>
      <c:valAx>
        <c:axId val="1204710272"/>
        <c:scaling>
          <c:orientation val="minMax"/>
        </c:scaling>
        <c:delete val="0"/>
        <c:axPos val="b"/>
        <c:majorGridlines/>
        <c:minorGridlines/>
        <c:title>
          <c:tx>
            <c:rich>
              <a:bodyPr/>
              <a:lstStyle/>
              <a:p>
                <a:pPr>
                  <a:defRPr sz="1200"/>
                </a:pPr>
                <a:r>
                  <a:rPr lang="en-US" sz="1200"/>
                  <a:t>(d/D)^.45</a:t>
                </a:r>
              </a:p>
            </c:rich>
          </c:tx>
          <c:layout>
            <c:manualLayout>
              <c:xMode val="edge"/>
              <c:yMode val="edge"/>
              <c:x val="0.80271047969538301"/>
              <c:y val="0.93377113393820765"/>
            </c:manualLayout>
          </c:layout>
          <c:overlay val="0"/>
        </c:title>
        <c:numFmt formatCode="0.00" sourceLinked="1"/>
        <c:majorTickMark val="out"/>
        <c:minorTickMark val="none"/>
        <c:tickLblPos val="none"/>
        <c:crossAx val="1204722784"/>
        <c:crosses val="autoZero"/>
        <c:crossBetween val="midCat"/>
      </c:valAx>
      <c:valAx>
        <c:axId val="1204722784"/>
        <c:scaling>
          <c:orientation val="minMax"/>
        </c:scaling>
        <c:delete val="0"/>
        <c:axPos val="l"/>
        <c:majorGridlines/>
        <c:title>
          <c:tx>
            <c:rich>
              <a:bodyPr rot="-5400000" vert="horz"/>
              <a:lstStyle/>
              <a:p>
                <a:pPr>
                  <a:defRPr sz="1200"/>
                </a:pPr>
                <a:r>
                  <a:rPr lang="en-US" sz="1200"/>
                  <a:t>% Passing</a:t>
                </a:r>
              </a:p>
            </c:rich>
          </c:tx>
          <c:overlay val="0"/>
        </c:title>
        <c:numFmt formatCode="0%" sourceLinked="1"/>
        <c:majorTickMark val="out"/>
        <c:minorTickMark val="none"/>
        <c:tickLblPos val="nextTo"/>
        <c:crossAx val="1204710272"/>
        <c:crosses val="autoZero"/>
        <c:crossBetween val="midCat"/>
      </c:valAx>
    </c:plotArea>
    <c:legend>
      <c:legendPos val="r"/>
      <c:overlay val="0"/>
    </c:legend>
    <c:plotVisOnly val="1"/>
    <c:dispBlanksAs val="gap"/>
    <c:showDLblsOverMax val="0"/>
  </c:chart>
  <c:printSettings>
    <c:headerFooter/>
    <c:pageMargins b="0.75000000000000711" l="0.70000000000000062" r="0.70000000000000062" t="0.75000000000000711" header="0.30000000000000032" footer="0.30000000000000032"/>
    <c:pageSetup orientation="portrait"/>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Mix</a:t>
            </a:r>
            <a:r>
              <a:rPr lang="en-US" baseline="0"/>
              <a:t> 10</a:t>
            </a:r>
            <a:endParaRPr lang="en-US"/>
          </a:p>
        </c:rich>
      </c:tx>
      <c:layout>
        <c:manualLayout>
          <c:xMode val="edge"/>
          <c:yMode val="edge"/>
          <c:x val="0.38211895483675923"/>
          <c:y val="2.8368786405096769E-2"/>
        </c:manualLayout>
      </c:layout>
      <c:overlay val="0"/>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autoTitleDeleted val="0"/>
    <c:plotArea>
      <c:layout>
        <c:manualLayout>
          <c:layoutTarget val="inner"/>
          <c:xMode val="edge"/>
          <c:yMode val="edge"/>
          <c:x val="7.1310374459421191E-2"/>
          <c:y val="4.7209987076488526E-2"/>
          <c:w val="0.67990883536009505"/>
          <c:h val="0.86756713103169758"/>
        </c:manualLayout>
      </c:layout>
      <c:scatterChart>
        <c:scatterStyle val="lineMarker"/>
        <c:varyColors val="0"/>
        <c:ser>
          <c:idx val="1"/>
          <c:order val="0"/>
          <c:tx>
            <c:v>Max Density Line</c:v>
          </c:tx>
          <c:marker>
            <c:symbol val="none"/>
          </c:marker>
          <c:xVal>
            <c:numRef>
              <c:f>Sheet5!$L$63:$L$64</c:f>
              <c:numCache>
                <c:formatCode>General</c:formatCode>
                <c:ptCount val="2"/>
                <c:pt idx="0" formatCode="0.00">
                  <c:v>95.295634032720628</c:v>
                </c:pt>
                <c:pt idx="1">
                  <c:v>0</c:v>
                </c:pt>
              </c:numCache>
            </c:numRef>
          </c:xVal>
          <c:yVal>
            <c:numRef>
              <c:f>Sheet5!$M$63:$M$64</c:f>
              <c:numCache>
                <c:formatCode>0%</c:formatCode>
                <c:ptCount val="2"/>
                <c:pt idx="0">
                  <c:v>1</c:v>
                </c:pt>
                <c:pt idx="1">
                  <c:v>0</c:v>
                </c:pt>
              </c:numCache>
            </c:numRef>
          </c:yVal>
          <c:smooth val="0"/>
          <c:extLst>
            <c:ext xmlns:c16="http://schemas.microsoft.com/office/drawing/2014/chart" uri="{C3380CC4-5D6E-409C-BE32-E72D297353CC}">
              <c16:uniqueId val="{00000000-7E46-43C9-836D-239D7010CE3B}"/>
            </c:ext>
          </c:extLst>
        </c:ser>
        <c:ser>
          <c:idx val="2"/>
          <c:order val="1"/>
          <c:tx>
            <c:v>High Density Line</c:v>
          </c:tx>
          <c:spPr>
            <a:ln w="25400" cap="flat" cmpd="sng" algn="ctr">
              <a:solidFill>
                <a:schemeClr val="dk1"/>
              </a:solidFill>
              <a:prstDash val="solid"/>
            </a:ln>
            <a:effectLst/>
          </c:spPr>
          <c:marker>
            <c:symbol val="none"/>
          </c:marker>
          <c:xVal>
            <c:numRef>
              <c:f>Sheet5!$L$67:$L$68</c:f>
              <c:numCache>
                <c:formatCode>0.00</c:formatCode>
                <c:ptCount val="2"/>
                <c:pt idx="0" formatCode="General">
                  <c:v>0</c:v>
                </c:pt>
                <c:pt idx="1">
                  <c:v>84.224631674288489</c:v>
                </c:pt>
              </c:numCache>
            </c:numRef>
          </c:xVal>
          <c:yVal>
            <c:numRef>
              <c:f>Sheet5!$M$67:$M$68</c:f>
              <c:numCache>
                <c:formatCode>0%</c:formatCode>
                <c:ptCount val="2"/>
                <c:pt idx="0">
                  <c:v>0</c:v>
                </c:pt>
                <c:pt idx="1">
                  <c:v>1</c:v>
                </c:pt>
              </c:numCache>
            </c:numRef>
          </c:yVal>
          <c:smooth val="0"/>
          <c:extLst>
            <c:ext xmlns:c16="http://schemas.microsoft.com/office/drawing/2014/chart" uri="{C3380CC4-5D6E-409C-BE32-E72D297353CC}">
              <c16:uniqueId val="{00000001-7E46-43C9-836D-239D7010CE3B}"/>
            </c:ext>
          </c:extLst>
        </c:ser>
        <c:ser>
          <c:idx val="3"/>
          <c:order val="2"/>
          <c:tx>
            <c:v>Low Density Line</c:v>
          </c:tx>
          <c:spPr>
            <a:ln w="25400" cap="flat" cmpd="sng" algn="ctr">
              <a:solidFill>
                <a:schemeClr val="dk1"/>
              </a:solidFill>
              <a:prstDash val="solid"/>
            </a:ln>
            <a:effectLst/>
          </c:spPr>
          <c:marker>
            <c:symbol val="none"/>
          </c:marker>
          <c:xVal>
            <c:numRef>
              <c:f>Sheet5!$L$71:$L$72</c:f>
              <c:numCache>
                <c:formatCode>0.00</c:formatCode>
                <c:ptCount val="2"/>
                <c:pt idx="0" formatCode="General">
                  <c:v>0</c:v>
                </c:pt>
                <c:pt idx="1">
                  <c:v>114.37051336098466</c:v>
                </c:pt>
              </c:numCache>
            </c:numRef>
          </c:xVal>
          <c:yVal>
            <c:numRef>
              <c:f>Sheet5!$M$71:$M$72</c:f>
              <c:numCache>
                <c:formatCode>0%</c:formatCode>
                <c:ptCount val="2"/>
                <c:pt idx="0">
                  <c:v>0</c:v>
                </c:pt>
                <c:pt idx="1">
                  <c:v>1</c:v>
                </c:pt>
              </c:numCache>
            </c:numRef>
          </c:yVal>
          <c:smooth val="0"/>
          <c:extLst>
            <c:ext xmlns:c16="http://schemas.microsoft.com/office/drawing/2014/chart" uri="{C3380CC4-5D6E-409C-BE32-E72D297353CC}">
              <c16:uniqueId val="{00000002-7E46-43C9-836D-239D7010CE3B}"/>
            </c:ext>
          </c:extLst>
        </c:ser>
        <c:ser>
          <c:idx val="0"/>
          <c:order val="3"/>
          <c:tx>
            <c:v>Combined</c:v>
          </c:tx>
          <c:marker>
            <c:symbol val="none"/>
          </c:marker>
          <c:xVal>
            <c:numRef>
              <c:f>Sheet5!$E$59:$E$70</c:f>
              <c:numCache>
                <c:formatCode>0.00</c:formatCode>
                <c:ptCount val="12"/>
                <c:pt idx="0">
                  <c:v>114.37051336098466</c:v>
                </c:pt>
                <c:pt idx="1">
                  <c:v>95.295634032720628</c:v>
                </c:pt>
                <c:pt idx="2">
                  <c:v>84.224631674288489</c:v>
                </c:pt>
                <c:pt idx="3">
                  <c:v>69.760487336687731</c:v>
                </c:pt>
                <c:pt idx="4">
                  <c:v>61.656039240307337</c:v>
                </c:pt>
                <c:pt idx="5">
                  <c:v>45.134862560198059</c:v>
                </c:pt>
                <c:pt idx="6">
                  <c:v>32.946584684146316</c:v>
                </c:pt>
                <c:pt idx="7">
                  <c:v>24.11831168315992</c:v>
                </c:pt>
                <c:pt idx="8">
                  <c:v>17.789676992918196</c:v>
                </c:pt>
                <c:pt idx="9">
                  <c:v>13.02280581041226</c:v>
                </c:pt>
                <c:pt idx="10">
                  <c:v>9.533251854051084</c:v>
                </c:pt>
                <c:pt idx="11">
                  <c:v>6.9787488376816533</c:v>
                </c:pt>
              </c:numCache>
            </c:numRef>
          </c:xVal>
          <c:yVal>
            <c:numRef>
              <c:f>Sheet5!$I$114:$I$125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0"/>
          <c:extLst>
            <c:ext xmlns:c16="http://schemas.microsoft.com/office/drawing/2014/chart" uri="{C3380CC4-5D6E-409C-BE32-E72D297353CC}">
              <c16:uniqueId val="{00000003-7E46-43C9-836D-239D7010CE3B}"/>
            </c:ext>
          </c:extLst>
        </c:ser>
        <c:dLbls>
          <c:showLegendKey val="0"/>
          <c:showVal val="0"/>
          <c:showCatName val="0"/>
          <c:showSerName val="0"/>
          <c:showPercent val="0"/>
          <c:showBubbleSize val="0"/>
        </c:dLbls>
        <c:axId val="1204712992"/>
        <c:axId val="1204724960"/>
      </c:scatterChart>
      <c:valAx>
        <c:axId val="1204712992"/>
        <c:scaling>
          <c:orientation val="minMax"/>
        </c:scaling>
        <c:delete val="0"/>
        <c:axPos val="b"/>
        <c:majorGridlines/>
        <c:minorGridlines/>
        <c:title>
          <c:tx>
            <c:rich>
              <a:bodyPr/>
              <a:lstStyle/>
              <a:p>
                <a:pPr>
                  <a:defRPr sz="1200"/>
                </a:pPr>
                <a:r>
                  <a:rPr lang="en-US" sz="1200"/>
                  <a:t>(d/D)^.45</a:t>
                </a:r>
              </a:p>
            </c:rich>
          </c:tx>
          <c:layout>
            <c:manualLayout>
              <c:xMode val="edge"/>
              <c:yMode val="edge"/>
              <c:x val="0.80271047969538301"/>
              <c:y val="0.93377113393820765"/>
            </c:manualLayout>
          </c:layout>
          <c:overlay val="0"/>
        </c:title>
        <c:numFmt formatCode="0.00" sourceLinked="1"/>
        <c:majorTickMark val="out"/>
        <c:minorTickMark val="none"/>
        <c:tickLblPos val="none"/>
        <c:crossAx val="1204724960"/>
        <c:crosses val="autoZero"/>
        <c:crossBetween val="midCat"/>
      </c:valAx>
      <c:valAx>
        <c:axId val="1204724960"/>
        <c:scaling>
          <c:orientation val="minMax"/>
        </c:scaling>
        <c:delete val="0"/>
        <c:axPos val="l"/>
        <c:majorGridlines/>
        <c:title>
          <c:tx>
            <c:rich>
              <a:bodyPr rot="-5400000" vert="horz"/>
              <a:lstStyle/>
              <a:p>
                <a:pPr>
                  <a:defRPr sz="1200"/>
                </a:pPr>
                <a:r>
                  <a:rPr lang="en-US" sz="1200"/>
                  <a:t>% Passing</a:t>
                </a:r>
              </a:p>
            </c:rich>
          </c:tx>
          <c:overlay val="0"/>
        </c:title>
        <c:numFmt formatCode="0%" sourceLinked="1"/>
        <c:majorTickMark val="out"/>
        <c:minorTickMark val="none"/>
        <c:tickLblPos val="nextTo"/>
        <c:crossAx val="1204712992"/>
        <c:crosses val="autoZero"/>
        <c:crossBetween val="midCat"/>
      </c:valAx>
    </c:plotArea>
    <c:legend>
      <c:legendPos val="r"/>
      <c:overlay val="0"/>
    </c:legend>
    <c:plotVisOnly val="1"/>
    <c:dispBlanksAs val="gap"/>
    <c:showDLblsOverMax val="0"/>
  </c:chart>
  <c:printSettings>
    <c:headerFooter/>
    <c:pageMargins b="0.75000000000000711" l="0.70000000000000062" r="0.70000000000000062" t="0.75000000000000711" header="0.30000000000000032" footer="0.30000000000000032"/>
    <c:pageSetup orientation="portrait"/>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Mix</a:t>
            </a:r>
            <a:r>
              <a:rPr lang="en-US" baseline="0"/>
              <a:t> 14</a:t>
            </a:r>
            <a:endParaRPr lang="en-US"/>
          </a:p>
        </c:rich>
      </c:tx>
      <c:layout>
        <c:manualLayout>
          <c:xMode val="edge"/>
          <c:yMode val="edge"/>
          <c:x val="0.38211895483675923"/>
          <c:y val="2.8368786405096769E-2"/>
        </c:manualLayout>
      </c:layout>
      <c:overlay val="0"/>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autoTitleDeleted val="0"/>
    <c:plotArea>
      <c:layout>
        <c:manualLayout>
          <c:layoutTarget val="inner"/>
          <c:xMode val="edge"/>
          <c:yMode val="edge"/>
          <c:x val="7.1310374459421191E-2"/>
          <c:y val="4.7209987076488526E-2"/>
          <c:w val="0.67990883536009505"/>
          <c:h val="0.86756713103169758"/>
        </c:manualLayout>
      </c:layout>
      <c:scatterChart>
        <c:scatterStyle val="lineMarker"/>
        <c:varyColors val="0"/>
        <c:ser>
          <c:idx val="1"/>
          <c:order val="0"/>
          <c:tx>
            <c:v>Max Density Line</c:v>
          </c:tx>
          <c:marker>
            <c:symbol val="none"/>
          </c:marker>
          <c:xVal>
            <c:numRef>
              <c:f>Sheet5!$L$63:$L$64</c:f>
              <c:numCache>
                <c:formatCode>General</c:formatCode>
                <c:ptCount val="2"/>
                <c:pt idx="0" formatCode="0.00">
                  <c:v>95.295634032720628</c:v>
                </c:pt>
                <c:pt idx="1">
                  <c:v>0</c:v>
                </c:pt>
              </c:numCache>
            </c:numRef>
          </c:xVal>
          <c:yVal>
            <c:numRef>
              <c:f>Sheet5!$M$63:$M$64</c:f>
              <c:numCache>
                <c:formatCode>0%</c:formatCode>
                <c:ptCount val="2"/>
                <c:pt idx="0">
                  <c:v>1</c:v>
                </c:pt>
                <c:pt idx="1">
                  <c:v>0</c:v>
                </c:pt>
              </c:numCache>
            </c:numRef>
          </c:yVal>
          <c:smooth val="0"/>
          <c:extLst>
            <c:ext xmlns:c16="http://schemas.microsoft.com/office/drawing/2014/chart" uri="{C3380CC4-5D6E-409C-BE32-E72D297353CC}">
              <c16:uniqueId val="{00000000-FD5C-48CD-927B-2DACB07B1A56}"/>
            </c:ext>
          </c:extLst>
        </c:ser>
        <c:ser>
          <c:idx val="2"/>
          <c:order val="1"/>
          <c:tx>
            <c:v>High Density Line</c:v>
          </c:tx>
          <c:spPr>
            <a:ln w="25400" cap="flat" cmpd="sng" algn="ctr">
              <a:solidFill>
                <a:schemeClr val="dk1"/>
              </a:solidFill>
              <a:prstDash val="solid"/>
            </a:ln>
            <a:effectLst/>
          </c:spPr>
          <c:marker>
            <c:symbol val="none"/>
          </c:marker>
          <c:xVal>
            <c:numRef>
              <c:f>Sheet5!$L$67:$L$68</c:f>
              <c:numCache>
                <c:formatCode>0.00</c:formatCode>
                <c:ptCount val="2"/>
                <c:pt idx="0" formatCode="General">
                  <c:v>0</c:v>
                </c:pt>
                <c:pt idx="1">
                  <c:v>84.224631674288489</c:v>
                </c:pt>
              </c:numCache>
            </c:numRef>
          </c:xVal>
          <c:yVal>
            <c:numRef>
              <c:f>Sheet5!$M$67:$M$68</c:f>
              <c:numCache>
                <c:formatCode>0%</c:formatCode>
                <c:ptCount val="2"/>
                <c:pt idx="0">
                  <c:v>0</c:v>
                </c:pt>
                <c:pt idx="1">
                  <c:v>1</c:v>
                </c:pt>
              </c:numCache>
            </c:numRef>
          </c:yVal>
          <c:smooth val="0"/>
          <c:extLst>
            <c:ext xmlns:c16="http://schemas.microsoft.com/office/drawing/2014/chart" uri="{C3380CC4-5D6E-409C-BE32-E72D297353CC}">
              <c16:uniqueId val="{00000001-FD5C-48CD-927B-2DACB07B1A56}"/>
            </c:ext>
          </c:extLst>
        </c:ser>
        <c:ser>
          <c:idx val="3"/>
          <c:order val="2"/>
          <c:tx>
            <c:v>Low Density Line</c:v>
          </c:tx>
          <c:spPr>
            <a:ln w="25400" cap="flat" cmpd="sng" algn="ctr">
              <a:solidFill>
                <a:schemeClr val="dk1"/>
              </a:solidFill>
              <a:prstDash val="solid"/>
            </a:ln>
            <a:effectLst/>
          </c:spPr>
          <c:marker>
            <c:symbol val="none"/>
          </c:marker>
          <c:xVal>
            <c:numRef>
              <c:f>Sheet5!$L$71:$L$72</c:f>
              <c:numCache>
                <c:formatCode>0.00</c:formatCode>
                <c:ptCount val="2"/>
                <c:pt idx="0" formatCode="General">
                  <c:v>0</c:v>
                </c:pt>
                <c:pt idx="1">
                  <c:v>114.37051336098466</c:v>
                </c:pt>
              </c:numCache>
            </c:numRef>
          </c:xVal>
          <c:yVal>
            <c:numRef>
              <c:f>Sheet5!$M$71:$M$72</c:f>
              <c:numCache>
                <c:formatCode>0%</c:formatCode>
                <c:ptCount val="2"/>
                <c:pt idx="0">
                  <c:v>0</c:v>
                </c:pt>
                <c:pt idx="1">
                  <c:v>1</c:v>
                </c:pt>
              </c:numCache>
            </c:numRef>
          </c:yVal>
          <c:smooth val="0"/>
          <c:extLst>
            <c:ext xmlns:c16="http://schemas.microsoft.com/office/drawing/2014/chart" uri="{C3380CC4-5D6E-409C-BE32-E72D297353CC}">
              <c16:uniqueId val="{00000002-FD5C-48CD-927B-2DACB07B1A56}"/>
            </c:ext>
          </c:extLst>
        </c:ser>
        <c:ser>
          <c:idx val="0"/>
          <c:order val="3"/>
          <c:tx>
            <c:v>Combined</c:v>
          </c:tx>
          <c:marker>
            <c:symbol val="none"/>
          </c:marker>
          <c:xVal>
            <c:numRef>
              <c:f>Sheet5!$E$59:$E$70</c:f>
              <c:numCache>
                <c:formatCode>0.00</c:formatCode>
                <c:ptCount val="12"/>
                <c:pt idx="0">
                  <c:v>114.37051336098466</c:v>
                </c:pt>
                <c:pt idx="1">
                  <c:v>95.295634032720628</c:v>
                </c:pt>
                <c:pt idx="2">
                  <c:v>84.224631674288489</c:v>
                </c:pt>
                <c:pt idx="3">
                  <c:v>69.760487336687731</c:v>
                </c:pt>
                <c:pt idx="4">
                  <c:v>61.656039240307337</c:v>
                </c:pt>
                <c:pt idx="5">
                  <c:v>45.134862560198059</c:v>
                </c:pt>
                <c:pt idx="6">
                  <c:v>32.946584684146316</c:v>
                </c:pt>
                <c:pt idx="7">
                  <c:v>24.11831168315992</c:v>
                </c:pt>
                <c:pt idx="8">
                  <c:v>17.789676992918196</c:v>
                </c:pt>
                <c:pt idx="9">
                  <c:v>13.02280581041226</c:v>
                </c:pt>
                <c:pt idx="10">
                  <c:v>9.533251854051084</c:v>
                </c:pt>
                <c:pt idx="11">
                  <c:v>6.9787488376816533</c:v>
                </c:pt>
              </c:numCache>
            </c:numRef>
          </c:xVal>
          <c:yVal>
            <c:numRef>
              <c:f>Sheet5!$I$141:$I$152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0"/>
          <c:extLst>
            <c:ext xmlns:c16="http://schemas.microsoft.com/office/drawing/2014/chart" uri="{C3380CC4-5D6E-409C-BE32-E72D297353CC}">
              <c16:uniqueId val="{00000003-FD5C-48CD-927B-2DACB07B1A56}"/>
            </c:ext>
          </c:extLst>
        </c:ser>
        <c:dLbls>
          <c:showLegendKey val="0"/>
          <c:showVal val="0"/>
          <c:showCatName val="0"/>
          <c:showSerName val="0"/>
          <c:showPercent val="0"/>
          <c:showBubbleSize val="0"/>
        </c:dLbls>
        <c:axId val="1204723328"/>
        <c:axId val="1204711904"/>
      </c:scatterChart>
      <c:valAx>
        <c:axId val="1204723328"/>
        <c:scaling>
          <c:orientation val="minMax"/>
        </c:scaling>
        <c:delete val="0"/>
        <c:axPos val="b"/>
        <c:majorGridlines/>
        <c:minorGridlines/>
        <c:title>
          <c:tx>
            <c:rich>
              <a:bodyPr/>
              <a:lstStyle/>
              <a:p>
                <a:pPr>
                  <a:defRPr sz="1200"/>
                </a:pPr>
                <a:r>
                  <a:rPr lang="en-US" sz="1200"/>
                  <a:t>(d/D)^.45</a:t>
                </a:r>
              </a:p>
            </c:rich>
          </c:tx>
          <c:layout>
            <c:manualLayout>
              <c:xMode val="edge"/>
              <c:yMode val="edge"/>
              <c:x val="0.80271047969538301"/>
              <c:y val="0.93377113393820765"/>
            </c:manualLayout>
          </c:layout>
          <c:overlay val="0"/>
        </c:title>
        <c:numFmt formatCode="0.00" sourceLinked="1"/>
        <c:majorTickMark val="out"/>
        <c:minorTickMark val="none"/>
        <c:tickLblPos val="none"/>
        <c:crossAx val="1204711904"/>
        <c:crosses val="autoZero"/>
        <c:crossBetween val="midCat"/>
      </c:valAx>
      <c:valAx>
        <c:axId val="1204711904"/>
        <c:scaling>
          <c:orientation val="minMax"/>
        </c:scaling>
        <c:delete val="0"/>
        <c:axPos val="l"/>
        <c:majorGridlines/>
        <c:title>
          <c:tx>
            <c:rich>
              <a:bodyPr rot="-5400000" vert="horz"/>
              <a:lstStyle/>
              <a:p>
                <a:pPr>
                  <a:defRPr sz="1200"/>
                </a:pPr>
                <a:r>
                  <a:rPr lang="en-US" sz="1200"/>
                  <a:t>% Passing</a:t>
                </a:r>
              </a:p>
            </c:rich>
          </c:tx>
          <c:overlay val="0"/>
        </c:title>
        <c:numFmt formatCode="0%" sourceLinked="1"/>
        <c:majorTickMark val="out"/>
        <c:minorTickMark val="none"/>
        <c:tickLblPos val="nextTo"/>
        <c:crossAx val="1204723328"/>
        <c:crosses val="autoZero"/>
        <c:crossBetween val="midCat"/>
      </c:valAx>
    </c:plotArea>
    <c:legend>
      <c:legendPos val="r"/>
      <c:overlay val="0"/>
    </c:legend>
    <c:plotVisOnly val="1"/>
    <c:dispBlanksAs val="gap"/>
    <c:showDLblsOverMax val="0"/>
  </c:chart>
  <c:printSettings>
    <c:headerFooter/>
    <c:pageMargins b="0.75000000000000711" l="0.70000000000000062" r="0.70000000000000062" t="0.75000000000000711"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872111379379934E-2"/>
          <c:y val="2.5624645699134262E-2"/>
          <c:w val="0.86240792999700189"/>
          <c:h val="0.82321716612360629"/>
        </c:manualLayout>
      </c:layout>
      <c:lineChart>
        <c:grouping val="standard"/>
        <c:varyColors val="0"/>
        <c:ser>
          <c:idx val="3"/>
          <c:order val="0"/>
          <c:tx>
            <c:v>Coarse I</c:v>
          </c:tx>
          <c:spPr>
            <a:ln>
              <a:solidFill>
                <a:srgbClr val="00B050"/>
              </a:solidFill>
            </a:ln>
          </c:spPr>
          <c:marker>
            <c:symbol val="none"/>
          </c:marker>
          <c:cat>
            <c:strRef>
              <c:f>'Sieve Analysis'!$B$7:$B$18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'Sieve Analysis'!$C$7:$C$18</c:f>
              <c:numCache>
                <c:formatCode>0%</c:formatCode>
                <c:ptCount val="12"/>
              </c:numCache>
            </c:numRef>
          </c:val>
          <c:smooth val="0"/>
          <c:extLst>
            <c:ext xmlns:c16="http://schemas.microsoft.com/office/drawing/2014/chart" uri="{C3380CC4-5D6E-409C-BE32-E72D297353CC}">
              <c16:uniqueId val="{00000000-DE7F-4FC6-91F0-8536F931FB8E}"/>
            </c:ext>
          </c:extLst>
        </c:ser>
        <c:ser>
          <c:idx val="4"/>
          <c:order val="1"/>
          <c:tx>
            <c:v>Coarse II</c:v>
          </c:tx>
          <c:spPr>
            <a:ln w="38100"/>
          </c:spPr>
          <c:marker>
            <c:symbol val="none"/>
          </c:marker>
          <c:cat>
            <c:strRef>
              <c:f>'Sieve Analysis'!$B$7:$B$18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'Sieve Analysis'!$D$7:$D$18</c:f>
              <c:numCache>
                <c:formatCode>0%</c:formatCode>
                <c:ptCount val="12"/>
              </c:numCache>
            </c:numRef>
          </c:val>
          <c:smooth val="0"/>
          <c:extLst>
            <c:ext xmlns:c16="http://schemas.microsoft.com/office/drawing/2014/chart" uri="{C3380CC4-5D6E-409C-BE32-E72D297353CC}">
              <c16:uniqueId val="{00000001-DE7F-4FC6-91F0-8536F931FB8E}"/>
            </c:ext>
          </c:extLst>
        </c:ser>
        <c:ser>
          <c:idx val="5"/>
          <c:order val="2"/>
          <c:tx>
            <c:v>Coarse III</c:v>
          </c:tx>
          <c:spPr>
            <a:ln w="38100"/>
          </c:spPr>
          <c:marker>
            <c:symbol val="none"/>
          </c:marker>
          <c:cat>
            <c:strRef>
              <c:f>'Sieve Analysis'!$B$7:$B$18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'Sieve Analysis'!$E$7:$E$18</c:f>
              <c:numCache>
                <c:formatCode>0%</c:formatCode>
                <c:ptCount val="12"/>
              </c:numCache>
            </c:numRef>
          </c:val>
          <c:smooth val="0"/>
          <c:extLst>
            <c:ext xmlns:c16="http://schemas.microsoft.com/office/drawing/2014/chart" uri="{C3380CC4-5D6E-409C-BE32-E72D297353CC}">
              <c16:uniqueId val="{00000002-DE7F-4FC6-91F0-8536F931FB8E}"/>
            </c:ext>
          </c:extLst>
        </c:ser>
        <c:ser>
          <c:idx val="6"/>
          <c:order val="3"/>
          <c:tx>
            <c:v>Fine I</c:v>
          </c:tx>
          <c:spPr>
            <a:ln w="38100">
              <a:solidFill>
                <a:schemeClr val="accent4"/>
              </a:solidFill>
            </a:ln>
          </c:spPr>
          <c:marker>
            <c:symbol val="none"/>
          </c:marker>
          <c:cat>
            <c:strRef>
              <c:f>'Sieve Analysis'!$B$7:$B$18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'Sieve Analysis'!$F$7:$F$18</c:f>
              <c:numCache>
                <c:formatCode>0%</c:formatCode>
                <c:ptCount val="12"/>
              </c:numCache>
            </c:numRef>
          </c:val>
          <c:smooth val="0"/>
          <c:extLst>
            <c:ext xmlns:c16="http://schemas.microsoft.com/office/drawing/2014/chart" uri="{C3380CC4-5D6E-409C-BE32-E72D297353CC}">
              <c16:uniqueId val="{00000003-DE7F-4FC6-91F0-8536F931FB8E}"/>
            </c:ext>
          </c:extLst>
        </c:ser>
        <c:ser>
          <c:idx val="7"/>
          <c:order val="4"/>
          <c:tx>
            <c:v>Fine II</c:v>
          </c:tx>
          <c:marker>
            <c:symbol val="none"/>
          </c:marker>
          <c:cat>
            <c:strRef>
              <c:f>'Sieve Analysis'!$B$7:$B$18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'Sieve Analysis'!$G$7:$G$18</c:f>
              <c:numCache>
                <c:formatCode>0%</c:formatCode>
                <c:ptCount val="12"/>
              </c:numCache>
            </c:numRef>
          </c:val>
          <c:smooth val="0"/>
          <c:extLst>
            <c:ext xmlns:c16="http://schemas.microsoft.com/office/drawing/2014/chart" uri="{C3380CC4-5D6E-409C-BE32-E72D297353CC}">
              <c16:uniqueId val="{00000004-DE7F-4FC6-91F0-8536F931FB8E}"/>
            </c:ext>
          </c:extLst>
        </c:ser>
        <c:ser>
          <c:idx val="14"/>
          <c:order val="5"/>
          <c:tx>
            <c:v>Coarse I</c:v>
          </c:tx>
          <c:spPr>
            <a:ln>
              <a:solidFill>
                <a:srgbClr val="00B050"/>
              </a:solidFill>
            </a:ln>
          </c:spPr>
          <c:marker>
            <c:symbol val="none"/>
          </c:marker>
          <c:cat>
            <c:strRef>
              <c:f>'Sieve Analysis'!$B$7:$B$18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'Sieve Analysis'!$C$7:$C$18</c:f>
              <c:numCache>
                <c:formatCode>0%</c:formatCode>
                <c:ptCount val="12"/>
              </c:numCache>
            </c:numRef>
          </c:val>
          <c:smooth val="0"/>
          <c:extLst>
            <c:ext xmlns:c16="http://schemas.microsoft.com/office/drawing/2014/chart" uri="{C3380CC4-5D6E-409C-BE32-E72D297353CC}">
              <c16:uniqueId val="{00000005-DE7F-4FC6-91F0-8536F931FB8E}"/>
            </c:ext>
          </c:extLst>
        </c:ser>
        <c:ser>
          <c:idx val="0"/>
          <c:order val="6"/>
          <c:tx>
            <c:v>Coarse II</c:v>
          </c:tx>
          <c:spPr>
            <a:ln w="38100"/>
          </c:spPr>
          <c:marker>
            <c:symbol val="none"/>
          </c:marker>
          <c:cat>
            <c:strRef>
              <c:f>'Sieve Analysis'!$B$7:$B$18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'Sieve Analysis'!$D$7:$D$18</c:f>
              <c:numCache>
                <c:formatCode>0%</c:formatCode>
                <c:ptCount val="12"/>
              </c:numCache>
            </c:numRef>
          </c:val>
          <c:smooth val="0"/>
          <c:extLst>
            <c:ext xmlns:c16="http://schemas.microsoft.com/office/drawing/2014/chart" uri="{C3380CC4-5D6E-409C-BE32-E72D297353CC}">
              <c16:uniqueId val="{00000006-DE7F-4FC6-91F0-8536F931FB8E}"/>
            </c:ext>
          </c:extLst>
        </c:ser>
        <c:ser>
          <c:idx val="1"/>
          <c:order val="7"/>
          <c:tx>
            <c:v>Coarse III</c:v>
          </c:tx>
          <c:spPr>
            <a:ln w="38100"/>
          </c:spPr>
          <c:marker>
            <c:symbol val="none"/>
          </c:marker>
          <c:cat>
            <c:strRef>
              <c:f>'Sieve Analysis'!$B$7:$B$18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'Sieve Analysis'!$E$7:$E$18</c:f>
              <c:numCache>
                <c:formatCode>0%</c:formatCode>
                <c:ptCount val="12"/>
              </c:numCache>
            </c:numRef>
          </c:val>
          <c:smooth val="0"/>
          <c:extLst>
            <c:ext xmlns:c16="http://schemas.microsoft.com/office/drawing/2014/chart" uri="{C3380CC4-5D6E-409C-BE32-E72D297353CC}">
              <c16:uniqueId val="{00000007-DE7F-4FC6-91F0-8536F931FB8E}"/>
            </c:ext>
          </c:extLst>
        </c:ser>
        <c:ser>
          <c:idx val="13"/>
          <c:order val="8"/>
          <c:tx>
            <c:v>Fine I</c:v>
          </c:tx>
          <c:spPr>
            <a:ln w="38100">
              <a:solidFill>
                <a:schemeClr val="accent4"/>
              </a:solidFill>
            </a:ln>
          </c:spPr>
          <c:marker>
            <c:symbol val="none"/>
          </c:marker>
          <c:cat>
            <c:strRef>
              <c:f>'Sieve Analysis'!$B$7:$B$18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'Sieve Analysis'!$F$7:$F$18</c:f>
              <c:numCache>
                <c:formatCode>0%</c:formatCode>
                <c:ptCount val="12"/>
              </c:numCache>
            </c:numRef>
          </c:val>
          <c:smooth val="0"/>
          <c:extLst>
            <c:ext xmlns:c16="http://schemas.microsoft.com/office/drawing/2014/chart" uri="{C3380CC4-5D6E-409C-BE32-E72D297353CC}">
              <c16:uniqueId val="{00000008-DE7F-4FC6-91F0-8536F931FB8E}"/>
            </c:ext>
          </c:extLst>
        </c:ser>
        <c:ser>
          <c:idx val="2"/>
          <c:order val="9"/>
          <c:tx>
            <c:v>Fine II</c:v>
          </c:tx>
          <c:marker>
            <c:symbol val="none"/>
          </c:marker>
          <c:cat>
            <c:strRef>
              <c:f>'Sieve Analysis'!$B$7:$B$18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'Sieve Analysis'!$G$7:$G$18</c:f>
              <c:numCache>
                <c:formatCode>0%</c:formatCode>
                <c:ptCount val="12"/>
              </c:numCache>
            </c:numRef>
          </c:val>
          <c:smooth val="0"/>
          <c:extLst>
            <c:ext xmlns:c16="http://schemas.microsoft.com/office/drawing/2014/chart" uri="{C3380CC4-5D6E-409C-BE32-E72D297353CC}">
              <c16:uniqueId val="{00000009-DE7F-4FC6-91F0-8536F931FB8E}"/>
            </c:ext>
          </c:extLst>
        </c:ser>
        <c:dLbls>
          <c:showLegendKey val="0"/>
          <c:showVal val="0"/>
          <c:showCatName val="0"/>
          <c:showSerName val="0"/>
          <c:showPercent val="0"/>
          <c:showBubbleSize val="0"/>
        </c:dLbls>
        <c:smooth val="0"/>
        <c:axId val="1199669680"/>
        <c:axId val="1199669136"/>
      </c:lineChart>
      <c:catAx>
        <c:axId val="1199669680"/>
        <c:scaling>
          <c:logBase val="10"/>
          <c:orientation val="maxMin"/>
        </c:scaling>
        <c:delete val="0"/>
        <c:axPos val="b"/>
        <c:majorGridlines/>
        <c:minorGridlines/>
        <c:title>
          <c:tx>
            <c:rich>
              <a:bodyPr/>
              <a:lstStyle/>
              <a:p>
                <a:pPr>
                  <a:defRPr/>
                </a:pPr>
                <a:r>
                  <a:rPr lang="en-US"/>
                  <a:t>Sieve Number</a:t>
                </a:r>
              </a:p>
            </c:rich>
          </c:tx>
          <c:layout>
            <c:manualLayout>
              <c:xMode val="edge"/>
              <c:yMode val="edge"/>
              <c:x val="0.35332246177803139"/>
              <c:y val="0.92384285857204962"/>
            </c:manualLayout>
          </c:layout>
          <c:overlay val="0"/>
        </c:title>
        <c:numFmt formatCode="General" sourceLinked="1"/>
        <c:majorTickMark val="none"/>
        <c:minorTickMark val="none"/>
        <c:tickLblPos val="nextTo"/>
        <c:crossAx val="1199669136"/>
        <c:crosses val="autoZero"/>
        <c:auto val="1"/>
        <c:lblAlgn val="ctr"/>
        <c:lblOffset val="100"/>
        <c:noMultiLvlLbl val="1"/>
      </c:catAx>
      <c:valAx>
        <c:axId val="1199669136"/>
        <c:scaling>
          <c:orientation val="minMax"/>
          <c:max val="1"/>
          <c:min val="0"/>
        </c:scaling>
        <c:delete val="0"/>
        <c:axPos val="r"/>
        <c:majorGridlines/>
        <c:title>
          <c:tx>
            <c:rich>
              <a:bodyPr/>
              <a:lstStyle/>
              <a:p>
                <a:pPr>
                  <a:defRPr/>
                </a:pPr>
                <a:r>
                  <a:rPr lang="en-US"/>
                  <a:t>Percentage Passing(%)</a:t>
                </a:r>
              </a:p>
            </c:rich>
          </c:tx>
          <c:overlay val="0"/>
        </c:title>
        <c:numFmt formatCode="0%" sourceLinked="0"/>
        <c:majorTickMark val="none"/>
        <c:minorTickMark val="none"/>
        <c:tickLblPos val="nextTo"/>
        <c:crossAx val="1199669680"/>
        <c:crossesAt val="1"/>
        <c:crossBetween val="midCat"/>
      </c:valAx>
    </c:plotArea>
    <c:legend>
      <c:legendPos val="b"/>
      <c:layout>
        <c:manualLayout>
          <c:xMode val="edge"/>
          <c:yMode val="edge"/>
          <c:x val="0.70439236271025463"/>
          <c:y val="0.58145594958505709"/>
          <c:w val="0.17503677448399088"/>
          <c:h val="0.26456607724078907"/>
        </c:manualLayout>
      </c:layout>
      <c:overlay val="0"/>
      <c:spPr>
        <a:solidFill>
          <a:schemeClr val="bg1"/>
        </a:solidFill>
        <a:ln>
          <a:noFill/>
        </a:ln>
      </c:spPr>
    </c:legend>
    <c:plotVisOnly val="1"/>
    <c:dispBlanksAs val="gap"/>
    <c:showDLblsOverMax val="0"/>
  </c:chart>
  <c:spPr>
    <a:ln>
      <a:noFill/>
    </a:ln>
  </c:spPr>
  <c:txPr>
    <a:bodyPr/>
    <a:lstStyle/>
    <a:p>
      <a:pPr>
        <a:defRPr sz="1200"/>
      </a:pPr>
      <a:endParaRPr lang="en-US"/>
    </a:p>
  </c:txPr>
  <c:printSettings>
    <c:headerFooter/>
    <c:pageMargins b="0.75000000000000855" l="0.70000000000000062" r="0.70000000000000062" t="0.7500000000000085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Mix</a:t>
            </a:r>
            <a:r>
              <a:rPr lang="en-US" baseline="0"/>
              <a:t> 15</a:t>
            </a:r>
            <a:endParaRPr lang="en-US"/>
          </a:p>
        </c:rich>
      </c:tx>
      <c:layout>
        <c:manualLayout>
          <c:xMode val="edge"/>
          <c:yMode val="edge"/>
          <c:x val="0.38211895483675923"/>
          <c:y val="2.8368786405096769E-2"/>
        </c:manualLayout>
      </c:layout>
      <c:overlay val="0"/>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autoTitleDeleted val="0"/>
    <c:plotArea>
      <c:layout>
        <c:manualLayout>
          <c:layoutTarget val="inner"/>
          <c:xMode val="edge"/>
          <c:yMode val="edge"/>
          <c:x val="7.1310374459421191E-2"/>
          <c:y val="4.7209987076488526E-2"/>
          <c:w val="0.67990883536009505"/>
          <c:h val="0.86756713103169758"/>
        </c:manualLayout>
      </c:layout>
      <c:scatterChart>
        <c:scatterStyle val="lineMarker"/>
        <c:varyColors val="0"/>
        <c:ser>
          <c:idx val="1"/>
          <c:order val="0"/>
          <c:tx>
            <c:v>Max Density Line</c:v>
          </c:tx>
          <c:marker>
            <c:symbol val="none"/>
          </c:marker>
          <c:xVal>
            <c:numRef>
              <c:f>Sheet5!$L$63:$L$64</c:f>
              <c:numCache>
                <c:formatCode>General</c:formatCode>
                <c:ptCount val="2"/>
                <c:pt idx="0" formatCode="0.00">
                  <c:v>95.295634032720628</c:v>
                </c:pt>
                <c:pt idx="1">
                  <c:v>0</c:v>
                </c:pt>
              </c:numCache>
            </c:numRef>
          </c:xVal>
          <c:yVal>
            <c:numRef>
              <c:f>Sheet5!$M$63:$M$64</c:f>
              <c:numCache>
                <c:formatCode>0%</c:formatCode>
                <c:ptCount val="2"/>
                <c:pt idx="0">
                  <c:v>1</c:v>
                </c:pt>
                <c:pt idx="1">
                  <c:v>0</c:v>
                </c:pt>
              </c:numCache>
            </c:numRef>
          </c:yVal>
          <c:smooth val="0"/>
          <c:extLst>
            <c:ext xmlns:c16="http://schemas.microsoft.com/office/drawing/2014/chart" uri="{C3380CC4-5D6E-409C-BE32-E72D297353CC}">
              <c16:uniqueId val="{00000000-7899-4574-A179-764AD0E553B7}"/>
            </c:ext>
          </c:extLst>
        </c:ser>
        <c:ser>
          <c:idx val="2"/>
          <c:order val="1"/>
          <c:tx>
            <c:v>High Density Line</c:v>
          </c:tx>
          <c:spPr>
            <a:ln w="25400" cap="flat" cmpd="sng" algn="ctr">
              <a:solidFill>
                <a:schemeClr val="dk1"/>
              </a:solidFill>
              <a:prstDash val="solid"/>
            </a:ln>
            <a:effectLst/>
          </c:spPr>
          <c:marker>
            <c:symbol val="none"/>
          </c:marker>
          <c:xVal>
            <c:numRef>
              <c:f>Sheet5!$L$67:$L$68</c:f>
              <c:numCache>
                <c:formatCode>0.00</c:formatCode>
                <c:ptCount val="2"/>
                <c:pt idx="0" formatCode="General">
                  <c:v>0</c:v>
                </c:pt>
                <c:pt idx="1">
                  <c:v>84.224631674288489</c:v>
                </c:pt>
              </c:numCache>
            </c:numRef>
          </c:xVal>
          <c:yVal>
            <c:numRef>
              <c:f>Sheet5!$M$67:$M$68</c:f>
              <c:numCache>
                <c:formatCode>0%</c:formatCode>
                <c:ptCount val="2"/>
                <c:pt idx="0">
                  <c:v>0</c:v>
                </c:pt>
                <c:pt idx="1">
                  <c:v>1</c:v>
                </c:pt>
              </c:numCache>
            </c:numRef>
          </c:yVal>
          <c:smooth val="0"/>
          <c:extLst>
            <c:ext xmlns:c16="http://schemas.microsoft.com/office/drawing/2014/chart" uri="{C3380CC4-5D6E-409C-BE32-E72D297353CC}">
              <c16:uniqueId val="{00000001-7899-4574-A179-764AD0E553B7}"/>
            </c:ext>
          </c:extLst>
        </c:ser>
        <c:ser>
          <c:idx val="3"/>
          <c:order val="2"/>
          <c:tx>
            <c:v>Low Density Line</c:v>
          </c:tx>
          <c:spPr>
            <a:ln w="25400" cap="flat" cmpd="sng" algn="ctr">
              <a:solidFill>
                <a:schemeClr val="dk1"/>
              </a:solidFill>
              <a:prstDash val="solid"/>
            </a:ln>
            <a:effectLst/>
          </c:spPr>
          <c:marker>
            <c:symbol val="none"/>
          </c:marker>
          <c:xVal>
            <c:numRef>
              <c:f>Sheet5!$L$71:$L$72</c:f>
              <c:numCache>
                <c:formatCode>0.00</c:formatCode>
                <c:ptCount val="2"/>
                <c:pt idx="0" formatCode="General">
                  <c:v>0</c:v>
                </c:pt>
                <c:pt idx="1">
                  <c:v>114.37051336098466</c:v>
                </c:pt>
              </c:numCache>
            </c:numRef>
          </c:xVal>
          <c:yVal>
            <c:numRef>
              <c:f>Sheet5!$M$71:$M$72</c:f>
              <c:numCache>
                <c:formatCode>0%</c:formatCode>
                <c:ptCount val="2"/>
                <c:pt idx="0">
                  <c:v>0</c:v>
                </c:pt>
                <c:pt idx="1">
                  <c:v>1</c:v>
                </c:pt>
              </c:numCache>
            </c:numRef>
          </c:yVal>
          <c:smooth val="0"/>
          <c:extLst>
            <c:ext xmlns:c16="http://schemas.microsoft.com/office/drawing/2014/chart" uri="{C3380CC4-5D6E-409C-BE32-E72D297353CC}">
              <c16:uniqueId val="{00000002-7899-4574-A179-764AD0E553B7}"/>
            </c:ext>
          </c:extLst>
        </c:ser>
        <c:ser>
          <c:idx val="0"/>
          <c:order val="3"/>
          <c:tx>
            <c:v>Combined</c:v>
          </c:tx>
          <c:marker>
            <c:symbol val="none"/>
          </c:marker>
          <c:xVal>
            <c:numRef>
              <c:f>Sheet5!$E$59:$E$70</c:f>
              <c:numCache>
                <c:formatCode>0.00</c:formatCode>
                <c:ptCount val="12"/>
                <c:pt idx="0">
                  <c:v>114.37051336098466</c:v>
                </c:pt>
                <c:pt idx="1">
                  <c:v>95.295634032720628</c:v>
                </c:pt>
                <c:pt idx="2">
                  <c:v>84.224631674288489</c:v>
                </c:pt>
                <c:pt idx="3">
                  <c:v>69.760487336687731</c:v>
                </c:pt>
                <c:pt idx="4">
                  <c:v>61.656039240307337</c:v>
                </c:pt>
                <c:pt idx="5">
                  <c:v>45.134862560198059</c:v>
                </c:pt>
                <c:pt idx="6">
                  <c:v>32.946584684146316</c:v>
                </c:pt>
                <c:pt idx="7">
                  <c:v>24.11831168315992</c:v>
                </c:pt>
                <c:pt idx="8">
                  <c:v>17.789676992918196</c:v>
                </c:pt>
                <c:pt idx="9">
                  <c:v>13.02280581041226</c:v>
                </c:pt>
                <c:pt idx="10">
                  <c:v>9.533251854051084</c:v>
                </c:pt>
                <c:pt idx="11">
                  <c:v>6.9787488376816533</c:v>
                </c:pt>
              </c:numCache>
            </c:numRef>
          </c:xVal>
          <c:yVal>
            <c:numRef>
              <c:f>Sheet5!$I$169:$I$180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0"/>
          <c:extLst>
            <c:ext xmlns:c16="http://schemas.microsoft.com/office/drawing/2014/chart" uri="{C3380CC4-5D6E-409C-BE32-E72D297353CC}">
              <c16:uniqueId val="{00000003-7899-4574-A179-764AD0E553B7}"/>
            </c:ext>
          </c:extLst>
        </c:ser>
        <c:dLbls>
          <c:showLegendKey val="0"/>
          <c:showVal val="0"/>
          <c:showCatName val="0"/>
          <c:showSerName val="0"/>
          <c:showPercent val="0"/>
          <c:showBubbleSize val="0"/>
        </c:dLbls>
        <c:axId val="1204721696"/>
        <c:axId val="1204714080"/>
      </c:scatterChart>
      <c:valAx>
        <c:axId val="1204721696"/>
        <c:scaling>
          <c:orientation val="minMax"/>
        </c:scaling>
        <c:delete val="0"/>
        <c:axPos val="b"/>
        <c:majorGridlines/>
        <c:minorGridlines/>
        <c:title>
          <c:tx>
            <c:rich>
              <a:bodyPr/>
              <a:lstStyle/>
              <a:p>
                <a:pPr>
                  <a:defRPr sz="1200"/>
                </a:pPr>
                <a:r>
                  <a:rPr lang="en-US" sz="1200"/>
                  <a:t>(d/D)^.45</a:t>
                </a:r>
              </a:p>
            </c:rich>
          </c:tx>
          <c:layout>
            <c:manualLayout>
              <c:xMode val="edge"/>
              <c:yMode val="edge"/>
              <c:x val="0.80271047969538301"/>
              <c:y val="0.93377113393820765"/>
            </c:manualLayout>
          </c:layout>
          <c:overlay val="0"/>
        </c:title>
        <c:numFmt formatCode="0.00" sourceLinked="1"/>
        <c:majorTickMark val="out"/>
        <c:minorTickMark val="none"/>
        <c:tickLblPos val="none"/>
        <c:crossAx val="1204714080"/>
        <c:crosses val="autoZero"/>
        <c:crossBetween val="midCat"/>
      </c:valAx>
      <c:valAx>
        <c:axId val="1204714080"/>
        <c:scaling>
          <c:orientation val="minMax"/>
        </c:scaling>
        <c:delete val="0"/>
        <c:axPos val="l"/>
        <c:majorGridlines/>
        <c:title>
          <c:tx>
            <c:rich>
              <a:bodyPr rot="-5400000" vert="horz"/>
              <a:lstStyle/>
              <a:p>
                <a:pPr>
                  <a:defRPr sz="1200"/>
                </a:pPr>
                <a:r>
                  <a:rPr lang="en-US" sz="1200"/>
                  <a:t>% Passing</a:t>
                </a:r>
              </a:p>
            </c:rich>
          </c:tx>
          <c:overlay val="0"/>
        </c:title>
        <c:numFmt formatCode="0%" sourceLinked="1"/>
        <c:majorTickMark val="out"/>
        <c:minorTickMark val="none"/>
        <c:tickLblPos val="nextTo"/>
        <c:crossAx val="1204721696"/>
        <c:crosses val="autoZero"/>
        <c:crossBetween val="midCat"/>
      </c:valAx>
    </c:plotArea>
    <c:legend>
      <c:legendPos val="r"/>
      <c:overlay val="0"/>
    </c:legend>
    <c:plotVisOnly val="1"/>
    <c:dispBlanksAs val="gap"/>
    <c:showDLblsOverMax val="0"/>
  </c:chart>
  <c:printSettings>
    <c:headerFooter/>
    <c:pageMargins b="0.75000000000000711" l="0.70000000000000062" r="0.70000000000000062" t="0.75000000000000711" header="0.30000000000000032" footer="0.30000000000000032"/>
    <c:pageSetup orientation="portrait"/>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Mix</a:t>
            </a:r>
            <a:r>
              <a:rPr lang="en-US" baseline="0"/>
              <a:t> 17</a:t>
            </a:r>
            <a:endParaRPr lang="en-US"/>
          </a:p>
        </c:rich>
      </c:tx>
      <c:layout>
        <c:manualLayout>
          <c:xMode val="edge"/>
          <c:yMode val="edge"/>
          <c:x val="0.38211895483675923"/>
          <c:y val="2.8368786405096769E-2"/>
        </c:manualLayout>
      </c:layout>
      <c:overlay val="0"/>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autoTitleDeleted val="0"/>
    <c:plotArea>
      <c:layout>
        <c:manualLayout>
          <c:layoutTarget val="inner"/>
          <c:xMode val="edge"/>
          <c:yMode val="edge"/>
          <c:x val="7.1310374459421191E-2"/>
          <c:y val="4.7209987076488526E-2"/>
          <c:w val="0.67990883536009505"/>
          <c:h val="0.86756713103169758"/>
        </c:manualLayout>
      </c:layout>
      <c:scatterChart>
        <c:scatterStyle val="lineMarker"/>
        <c:varyColors val="0"/>
        <c:ser>
          <c:idx val="1"/>
          <c:order val="0"/>
          <c:tx>
            <c:v>Max Density Line</c:v>
          </c:tx>
          <c:marker>
            <c:symbol val="none"/>
          </c:marker>
          <c:xVal>
            <c:numRef>
              <c:f>Sheet5!$L$63:$L$64</c:f>
              <c:numCache>
                <c:formatCode>General</c:formatCode>
                <c:ptCount val="2"/>
                <c:pt idx="0" formatCode="0.00">
                  <c:v>95.295634032720628</c:v>
                </c:pt>
                <c:pt idx="1">
                  <c:v>0</c:v>
                </c:pt>
              </c:numCache>
            </c:numRef>
          </c:xVal>
          <c:yVal>
            <c:numRef>
              <c:f>Sheet5!$M$63:$M$64</c:f>
              <c:numCache>
                <c:formatCode>0%</c:formatCode>
                <c:ptCount val="2"/>
                <c:pt idx="0">
                  <c:v>1</c:v>
                </c:pt>
                <c:pt idx="1">
                  <c:v>0</c:v>
                </c:pt>
              </c:numCache>
            </c:numRef>
          </c:yVal>
          <c:smooth val="0"/>
          <c:extLst>
            <c:ext xmlns:c16="http://schemas.microsoft.com/office/drawing/2014/chart" uri="{C3380CC4-5D6E-409C-BE32-E72D297353CC}">
              <c16:uniqueId val="{00000000-C847-4AA8-A658-ACD3B0E809DE}"/>
            </c:ext>
          </c:extLst>
        </c:ser>
        <c:ser>
          <c:idx val="2"/>
          <c:order val="1"/>
          <c:tx>
            <c:v>High Density Line</c:v>
          </c:tx>
          <c:spPr>
            <a:ln w="25400" cap="flat" cmpd="sng" algn="ctr">
              <a:solidFill>
                <a:schemeClr val="dk1"/>
              </a:solidFill>
              <a:prstDash val="solid"/>
            </a:ln>
            <a:effectLst/>
          </c:spPr>
          <c:marker>
            <c:symbol val="none"/>
          </c:marker>
          <c:xVal>
            <c:numRef>
              <c:f>Sheet5!$L$67:$L$68</c:f>
              <c:numCache>
                <c:formatCode>0.00</c:formatCode>
                <c:ptCount val="2"/>
                <c:pt idx="0" formatCode="General">
                  <c:v>0</c:v>
                </c:pt>
                <c:pt idx="1">
                  <c:v>84.224631674288489</c:v>
                </c:pt>
              </c:numCache>
            </c:numRef>
          </c:xVal>
          <c:yVal>
            <c:numRef>
              <c:f>Sheet5!$M$67:$M$68</c:f>
              <c:numCache>
                <c:formatCode>0%</c:formatCode>
                <c:ptCount val="2"/>
                <c:pt idx="0">
                  <c:v>0</c:v>
                </c:pt>
                <c:pt idx="1">
                  <c:v>1</c:v>
                </c:pt>
              </c:numCache>
            </c:numRef>
          </c:yVal>
          <c:smooth val="0"/>
          <c:extLst>
            <c:ext xmlns:c16="http://schemas.microsoft.com/office/drawing/2014/chart" uri="{C3380CC4-5D6E-409C-BE32-E72D297353CC}">
              <c16:uniqueId val="{00000001-C847-4AA8-A658-ACD3B0E809DE}"/>
            </c:ext>
          </c:extLst>
        </c:ser>
        <c:ser>
          <c:idx val="3"/>
          <c:order val="2"/>
          <c:tx>
            <c:v>Low Density Line</c:v>
          </c:tx>
          <c:spPr>
            <a:ln w="25400" cap="flat" cmpd="sng" algn="ctr">
              <a:solidFill>
                <a:schemeClr val="dk1"/>
              </a:solidFill>
              <a:prstDash val="solid"/>
            </a:ln>
            <a:effectLst/>
          </c:spPr>
          <c:marker>
            <c:symbol val="none"/>
          </c:marker>
          <c:xVal>
            <c:numRef>
              <c:f>Sheet5!$L$71:$L$72</c:f>
              <c:numCache>
                <c:formatCode>0.00</c:formatCode>
                <c:ptCount val="2"/>
                <c:pt idx="0" formatCode="General">
                  <c:v>0</c:v>
                </c:pt>
                <c:pt idx="1">
                  <c:v>114.37051336098466</c:v>
                </c:pt>
              </c:numCache>
            </c:numRef>
          </c:xVal>
          <c:yVal>
            <c:numRef>
              <c:f>Sheet5!$M$71:$M$72</c:f>
              <c:numCache>
                <c:formatCode>0%</c:formatCode>
                <c:ptCount val="2"/>
                <c:pt idx="0">
                  <c:v>0</c:v>
                </c:pt>
                <c:pt idx="1">
                  <c:v>1</c:v>
                </c:pt>
              </c:numCache>
            </c:numRef>
          </c:yVal>
          <c:smooth val="0"/>
          <c:extLst>
            <c:ext xmlns:c16="http://schemas.microsoft.com/office/drawing/2014/chart" uri="{C3380CC4-5D6E-409C-BE32-E72D297353CC}">
              <c16:uniqueId val="{00000002-C847-4AA8-A658-ACD3B0E809DE}"/>
            </c:ext>
          </c:extLst>
        </c:ser>
        <c:ser>
          <c:idx val="0"/>
          <c:order val="3"/>
          <c:tx>
            <c:v>Combined</c:v>
          </c:tx>
          <c:marker>
            <c:symbol val="none"/>
          </c:marker>
          <c:xVal>
            <c:numRef>
              <c:f>Sheet5!$E$59:$E$70</c:f>
              <c:numCache>
                <c:formatCode>0.00</c:formatCode>
                <c:ptCount val="12"/>
                <c:pt idx="0">
                  <c:v>114.37051336098466</c:v>
                </c:pt>
                <c:pt idx="1">
                  <c:v>95.295634032720628</c:v>
                </c:pt>
                <c:pt idx="2">
                  <c:v>84.224631674288489</c:v>
                </c:pt>
                <c:pt idx="3">
                  <c:v>69.760487336687731</c:v>
                </c:pt>
                <c:pt idx="4">
                  <c:v>61.656039240307337</c:v>
                </c:pt>
                <c:pt idx="5">
                  <c:v>45.134862560198059</c:v>
                </c:pt>
                <c:pt idx="6">
                  <c:v>32.946584684146316</c:v>
                </c:pt>
                <c:pt idx="7">
                  <c:v>24.11831168315992</c:v>
                </c:pt>
                <c:pt idx="8">
                  <c:v>17.789676992918196</c:v>
                </c:pt>
                <c:pt idx="9">
                  <c:v>13.02280581041226</c:v>
                </c:pt>
                <c:pt idx="10">
                  <c:v>9.533251854051084</c:v>
                </c:pt>
                <c:pt idx="11">
                  <c:v>6.9787488376816533</c:v>
                </c:pt>
              </c:numCache>
            </c:numRef>
          </c:xVal>
          <c:yVal>
            <c:numRef>
              <c:f>Sheet5!$I$198:$I$209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0"/>
          <c:extLst>
            <c:ext xmlns:c16="http://schemas.microsoft.com/office/drawing/2014/chart" uri="{C3380CC4-5D6E-409C-BE32-E72D297353CC}">
              <c16:uniqueId val="{00000003-C847-4AA8-A658-ACD3B0E809DE}"/>
            </c:ext>
          </c:extLst>
        </c:ser>
        <c:dLbls>
          <c:showLegendKey val="0"/>
          <c:showVal val="0"/>
          <c:showCatName val="0"/>
          <c:showSerName val="0"/>
          <c:showPercent val="0"/>
          <c:showBubbleSize val="0"/>
        </c:dLbls>
        <c:axId val="1204716256"/>
        <c:axId val="1204718432"/>
      </c:scatterChart>
      <c:valAx>
        <c:axId val="1204716256"/>
        <c:scaling>
          <c:orientation val="minMax"/>
        </c:scaling>
        <c:delete val="0"/>
        <c:axPos val="b"/>
        <c:majorGridlines/>
        <c:minorGridlines/>
        <c:title>
          <c:tx>
            <c:rich>
              <a:bodyPr/>
              <a:lstStyle/>
              <a:p>
                <a:pPr>
                  <a:defRPr sz="1200"/>
                </a:pPr>
                <a:r>
                  <a:rPr lang="en-US" sz="1200"/>
                  <a:t>(d/D)^.45</a:t>
                </a:r>
              </a:p>
            </c:rich>
          </c:tx>
          <c:layout>
            <c:manualLayout>
              <c:xMode val="edge"/>
              <c:yMode val="edge"/>
              <c:x val="0.80271047969538301"/>
              <c:y val="0.93377113393820765"/>
            </c:manualLayout>
          </c:layout>
          <c:overlay val="0"/>
        </c:title>
        <c:numFmt formatCode="0.00" sourceLinked="1"/>
        <c:majorTickMark val="out"/>
        <c:minorTickMark val="none"/>
        <c:tickLblPos val="none"/>
        <c:crossAx val="1204718432"/>
        <c:crosses val="autoZero"/>
        <c:crossBetween val="midCat"/>
      </c:valAx>
      <c:valAx>
        <c:axId val="1204718432"/>
        <c:scaling>
          <c:orientation val="minMax"/>
        </c:scaling>
        <c:delete val="0"/>
        <c:axPos val="l"/>
        <c:majorGridlines/>
        <c:title>
          <c:tx>
            <c:rich>
              <a:bodyPr rot="-5400000" vert="horz"/>
              <a:lstStyle/>
              <a:p>
                <a:pPr>
                  <a:defRPr sz="1200"/>
                </a:pPr>
                <a:r>
                  <a:rPr lang="en-US" sz="1200"/>
                  <a:t>% Passing</a:t>
                </a:r>
              </a:p>
            </c:rich>
          </c:tx>
          <c:overlay val="0"/>
        </c:title>
        <c:numFmt formatCode="0%" sourceLinked="1"/>
        <c:majorTickMark val="out"/>
        <c:minorTickMark val="none"/>
        <c:tickLblPos val="nextTo"/>
        <c:crossAx val="1204716256"/>
        <c:crosses val="autoZero"/>
        <c:crossBetween val="midCat"/>
      </c:valAx>
    </c:plotArea>
    <c:legend>
      <c:legendPos val="r"/>
      <c:overlay val="0"/>
    </c:legend>
    <c:plotVisOnly val="1"/>
    <c:dispBlanksAs val="gap"/>
    <c:showDLblsOverMax val="0"/>
  </c:chart>
  <c:printSettings>
    <c:headerFooter/>
    <c:pageMargins b="0.75000000000000711" l="0.70000000000000062" r="0.70000000000000062" t="0.75000000000000711" header="0.30000000000000032" footer="0.30000000000000032"/>
    <c:pageSetup orientation="portrait"/>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cked"/>
        <c:varyColors val="0"/>
        <c:ser>
          <c:idx val="0"/>
          <c:order val="0"/>
          <c:cat>
            <c:numRef>
              <c:f>Sheet3!$BA$28:$BA$41</c:f>
              <c:numCache>
                <c:formatCode>0.00%</c:formatCode>
                <c:ptCount val="14"/>
                <c:pt idx="0">
                  <c:v>0.52746843688890843</c:v>
                </c:pt>
                <c:pt idx="1">
                  <c:v>0.54342120395432714</c:v>
                </c:pt>
                <c:pt idx="2">
                  <c:v>0.54680540434311609</c:v>
                </c:pt>
                <c:pt idx="3">
                  <c:v>0.55856166329815216</c:v>
                </c:pt>
                <c:pt idx="4">
                  <c:v>0.56253188891860884</c:v>
                </c:pt>
                <c:pt idx="5">
                  <c:v>0.5677676230218065</c:v>
                </c:pt>
                <c:pt idx="6">
                  <c:v>0.57763635880680286</c:v>
                </c:pt>
                <c:pt idx="7">
                  <c:v>0.58313792558127309</c:v>
                </c:pt>
                <c:pt idx="8">
                  <c:v>0.5978902457411267</c:v>
                </c:pt>
                <c:pt idx="9">
                  <c:v>0.73659006348867362</c:v>
                </c:pt>
                <c:pt idx="10">
                  <c:v>0.74077833774877022</c:v>
                </c:pt>
                <c:pt idx="11">
                  <c:v>0.74515480021471081</c:v>
                </c:pt>
                <c:pt idx="12">
                  <c:v>0.74938810217856811</c:v>
                </c:pt>
                <c:pt idx="13">
                  <c:v>0.75295277138654582</c:v>
                </c:pt>
              </c:numCache>
            </c:numRef>
          </c:cat>
          <c:val>
            <c:numRef>
              <c:f>Sheet3!$AX$28:$AX$41</c:f>
              <c:numCache>
                <c:formatCode>0.00</c:formatCode>
                <c:ptCount val="14"/>
                <c:pt idx="0">
                  <c:v>130.16</c:v>
                </c:pt>
                <c:pt idx="1">
                  <c:v>131.49333333333334</c:v>
                </c:pt>
                <c:pt idx="2">
                  <c:v>135.62666666666669</c:v>
                </c:pt>
                <c:pt idx="3">
                  <c:v>132.02666666666667</c:v>
                </c:pt>
                <c:pt idx="4">
                  <c:v>131.09333333333333</c:v>
                </c:pt>
                <c:pt idx="5">
                  <c:v>134.69333333333336</c:v>
                </c:pt>
                <c:pt idx="6">
                  <c:v>133.65333333333334</c:v>
                </c:pt>
                <c:pt idx="7">
                  <c:v>132.48000000000002</c:v>
                </c:pt>
                <c:pt idx="8">
                  <c:v>136.08000000000001</c:v>
                </c:pt>
                <c:pt idx="9">
                  <c:v>135.76000000000002</c:v>
                </c:pt>
                <c:pt idx="10">
                  <c:v>135.22666666666669</c:v>
                </c:pt>
                <c:pt idx="11">
                  <c:v>136.66666666666666</c:v>
                </c:pt>
                <c:pt idx="12">
                  <c:v>133.81333333333333</c:v>
                </c:pt>
                <c:pt idx="13">
                  <c:v>133.14666666666668</c:v>
                </c:pt>
              </c:numCache>
            </c:numRef>
          </c:val>
          <c:smooth val="0"/>
          <c:extLst>
            <c:ext xmlns:c16="http://schemas.microsoft.com/office/drawing/2014/chart" uri="{C3380CC4-5D6E-409C-BE32-E72D297353CC}">
              <c16:uniqueId val="{00000000-7521-4BFC-B149-D41EA6733830}"/>
            </c:ext>
          </c:extLst>
        </c:ser>
        <c:dLbls>
          <c:showLegendKey val="0"/>
          <c:showVal val="0"/>
          <c:showCatName val="0"/>
          <c:showSerName val="0"/>
          <c:showPercent val="0"/>
          <c:showBubbleSize val="0"/>
        </c:dLbls>
        <c:marker val="1"/>
        <c:smooth val="0"/>
        <c:axId val="1204720064"/>
        <c:axId val="1204720608"/>
      </c:lineChart>
      <c:catAx>
        <c:axId val="1204720064"/>
        <c:scaling>
          <c:orientation val="minMax"/>
        </c:scaling>
        <c:delete val="0"/>
        <c:axPos val="b"/>
        <c:title>
          <c:tx>
            <c:rich>
              <a:bodyPr/>
              <a:lstStyle/>
              <a:p>
                <a:pPr>
                  <a:defRPr/>
                </a:pPr>
                <a:r>
                  <a:rPr lang="en-US"/>
                  <a:t>C F</a:t>
                </a:r>
              </a:p>
            </c:rich>
          </c:tx>
          <c:overlay val="0"/>
        </c:title>
        <c:numFmt formatCode="0.00%" sourceLinked="1"/>
        <c:majorTickMark val="out"/>
        <c:minorTickMark val="none"/>
        <c:tickLblPos val="nextTo"/>
        <c:crossAx val="1204720608"/>
        <c:crosses val="autoZero"/>
        <c:auto val="1"/>
        <c:lblAlgn val="ctr"/>
        <c:lblOffset val="100"/>
        <c:noMultiLvlLbl val="0"/>
      </c:catAx>
      <c:valAx>
        <c:axId val="1204720608"/>
        <c:scaling>
          <c:orientation val="minMax"/>
        </c:scaling>
        <c:delete val="0"/>
        <c:axPos val="l"/>
        <c:majorGridlines/>
        <c:title>
          <c:tx>
            <c:rich>
              <a:bodyPr rot="-5400000" vert="horz"/>
              <a:lstStyle/>
              <a:p>
                <a:pPr>
                  <a:defRPr/>
                </a:pPr>
                <a:r>
                  <a:rPr lang="en-US"/>
                  <a:t>Dry Pot Unit Wt. (b/cu ft)</a:t>
                </a:r>
              </a:p>
            </c:rich>
          </c:tx>
          <c:overlay val="0"/>
        </c:title>
        <c:numFmt formatCode="0.00" sourceLinked="1"/>
        <c:majorTickMark val="out"/>
        <c:minorTickMark val="none"/>
        <c:tickLblPos val="nextTo"/>
        <c:crossAx val="1204720064"/>
        <c:crosses val="autoZero"/>
        <c:crossBetween val="between"/>
      </c:valAx>
    </c:plotArea>
    <c:legend>
      <c:legendPos val="r"/>
      <c:overlay val="0"/>
    </c:legend>
    <c:plotVisOnly val="1"/>
    <c:dispBlanksAs val="zero"/>
    <c:showDLblsOverMax val="0"/>
  </c:chart>
  <c:printSettings>
    <c:headerFooter/>
    <c:pageMargins b="0.75000000000000555" l="0.70000000000000062" r="0.70000000000000062" t="0.7500000000000055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55313278148149"/>
          <c:y val="2.8057561770295954E-2"/>
          <c:w val="0.74368396258160063"/>
          <c:h val="0.7528243279934933"/>
        </c:manualLayout>
      </c:layout>
      <c:lineChart>
        <c:grouping val="stacked"/>
        <c:varyColors val="0"/>
        <c:ser>
          <c:idx val="0"/>
          <c:order val="0"/>
          <c:cat>
            <c:numRef>
              <c:f>Sheet3!$BB$48:$BB$61</c:f>
              <c:numCache>
                <c:formatCode>0.00%</c:formatCode>
                <c:ptCount val="14"/>
                <c:pt idx="0">
                  <c:v>0.26675413378132928</c:v>
                </c:pt>
                <c:pt idx="1">
                  <c:v>0.29085126239152748</c:v>
                </c:pt>
                <c:pt idx="2">
                  <c:v>0.29428456752433269</c:v>
                </c:pt>
                <c:pt idx="3">
                  <c:v>0.31386306587748147</c:v>
                </c:pt>
                <c:pt idx="4">
                  <c:v>0.3145504720942503</c:v>
                </c:pt>
                <c:pt idx="5">
                  <c:v>0.31721412851042335</c:v>
                </c:pt>
                <c:pt idx="6">
                  <c:v>0.31976115336472843</c:v>
                </c:pt>
                <c:pt idx="7">
                  <c:v>0.32543108998437797</c:v>
                </c:pt>
                <c:pt idx="8">
                  <c:v>0.33865453823070957</c:v>
                </c:pt>
                <c:pt idx="9">
                  <c:v>0.34141559127621851</c:v>
                </c:pt>
                <c:pt idx="10">
                  <c:v>0.34304397478921717</c:v>
                </c:pt>
                <c:pt idx="11">
                  <c:v>0.35177161802683821</c:v>
                </c:pt>
                <c:pt idx="12">
                  <c:v>0.36382878719076445</c:v>
                </c:pt>
                <c:pt idx="13">
                  <c:v>0.36725178047191565</c:v>
                </c:pt>
              </c:numCache>
            </c:numRef>
          </c:cat>
          <c:val>
            <c:numRef>
              <c:f>Sheet3!$AX$48:$AX$61</c:f>
              <c:numCache>
                <c:formatCode>0.00</c:formatCode>
                <c:ptCount val="14"/>
                <c:pt idx="0">
                  <c:v>132.02666666666667</c:v>
                </c:pt>
                <c:pt idx="1">
                  <c:v>133.65333333333334</c:v>
                </c:pt>
                <c:pt idx="2">
                  <c:v>131.49333333333334</c:v>
                </c:pt>
                <c:pt idx="3">
                  <c:v>133.14666666666668</c:v>
                </c:pt>
                <c:pt idx="4">
                  <c:v>136.08000000000001</c:v>
                </c:pt>
                <c:pt idx="5">
                  <c:v>131.09333333333333</c:v>
                </c:pt>
                <c:pt idx="6">
                  <c:v>130.16</c:v>
                </c:pt>
                <c:pt idx="7">
                  <c:v>133.81333333333333</c:v>
                </c:pt>
                <c:pt idx="8">
                  <c:v>136.66666666666666</c:v>
                </c:pt>
                <c:pt idx="9">
                  <c:v>132.48000000000002</c:v>
                </c:pt>
                <c:pt idx="10">
                  <c:v>135.62666666666669</c:v>
                </c:pt>
                <c:pt idx="11">
                  <c:v>135.22666666666669</c:v>
                </c:pt>
                <c:pt idx="12">
                  <c:v>135.76000000000002</c:v>
                </c:pt>
                <c:pt idx="13">
                  <c:v>134.69333333333336</c:v>
                </c:pt>
              </c:numCache>
            </c:numRef>
          </c:val>
          <c:smooth val="0"/>
          <c:extLst>
            <c:ext xmlns:c16="http://schemas.microsoft.com/office/drawing/2014/chart" uri="{C3380CC4-5D6E-409C-BE32-E72D297353CC}">
              <c16:uniqueId val="{00000000-C6F5-487B-AC9F-8C87FDE7807D}"/>
            </c:ext>
          </c:extLst>
        </c:ser>
        <c:dLbls>
          <c:showLegendKey val="0"/>
          <c:showVal val="0"/>
          <c:showCatName val="0"/>
          <c:showSerName val="0"/>
          <c:showPercent val="0"/>
          <c:showBubbleSize val="0"/>
        </c:dLbls>
        <c:marker val="1"/>
        <c:smooth val="0"/>
        <c:axId val="1205780640"/>
        <c:axId val="1205771936"/>
      </c:lineChart>
      <c:catAx>
        <c:axId val="1205780640"/>
        <c:scaling>
          <c:orientation val="minMax"/>
        </c:scaling>
        <c:delete val="0"/>
        <c:axPos val="b"/>
        <c:title>
          <c:tx>
            <c:rich>
              <a:bodyPr/>
              <a:lstStyle/>
              <a:p>
                <a:pPr>
                  <a:defRPr/>
                </a:pPr>
                <a:r>
                  <a:rPr lang="en-US"/>
                  <a:t>W F</a:t>
                </a:r>
              </a:p>
            </c:rich>
          </c:tx>
          <c:overlay val="0"/>
        </c:title>
        <c:numFmt formatCode="0.00%" sourceLinked="1"/>
        <c:majorTickMark val="out"/>
        <c:minorTickMark val="none"/>
        <c:tickLblPos val="nextTo"/>
        <c:crossAx val="1205771936"/>
        <c:crosses val="autoZero"/>
        <c:auto val="1"/>
        <c:lblAlgn val="ctr"/>
        <c:lblOffset val="100"/>
        <c:noMultiLvlLbl val="0"/>
      </c:catAx>
      <c:valAx>
        <c:axId val="1205771936"/>
        <c:scaling>
          <c:orientation val="minMax"/>
        </c:scaling>
        <c:delete val="0"/>
        <c:axPos val="l"/>
        <c:majorGridlines/>
        <c:title>
          <c:tx>
            <c:rich>
              <a:bodyPr rot="-5400000" vert="horz"/>
              <a:lstStyle/>
              <a:p>
                <a:pPr>
                  <a:defRPr/>
                </a:pPr>
                <a:r>
                  <a:rPr lang="en-US"/>
                  <a:t>Dry Pot Unit Wt.(b/cu ft)</a:t>
                </a:r>
              </a:p>
            </c:rich>
          </c:tx>
          <c:overlay val="0"/>
        </c:title>
        <c:numFmt formatCode="0.00" sourceLinked="1"/>
        <c:majorTickMark val="out"/>
        <c:minorTickMark val="none"/>
        <c:tickLblPos val="nextTo"/>
        <c:crossAx val="1205780640"/>
        <c:crosses val="autoZero"/>
        <c:crossBetween val="between"/>
      </c:valAx>
    </c:plotArea>
    <c:legend>
      <c:legendPos val="r"/>
      <c:overlay val="0"/>
    </c:legend>
    <c:plotVisOnly val="1"/>
    <c:dispBlanksAs val="zero"/>
    <c:showDLblsOverMax val="0"/>
  </c:chart>
  <c:printSettings>
    <c:headerFooter/>
    <c:pageMargins b="0.75000000000000555" l="0.70000000000000062" r="0.70000000000000062" t="0.7500000000000055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CF</c:v>
          </c:tx>
          <c:cat>
            <c:numRef>
              <c:f>Sheet3!$AX$65:$AX$78</c:f>
              <c:numCache>
                <c:formatCode>0.00</c:formatCode>
                <c:ptCount val="14"/>
                <c:pt idx="0">
                  <c:v>130.16</c:v>
                </c:pt>
                <c:pt idx="1">
                  <c:v>131.09333333333333</c:v>
                </c:pt>
                <c:pt idx="2">
                  <c:v>131.49333333333334</c:v>
                </c:pt>
                <c:pt idx="3">
                  <c:v>132.02666666666667</c:v>
                </c:pt>
                <c:pt idx="4">
                  <c:v>132.48000000000002</c:v>
                </c:pt>
                <c:pt idx="5">
                  <c:v>133.14666666666668</c:v>
                </c:pt>
                <c:pt idx="6">
                  <c:v>133.65333333333334</c:v>
                </c:pt>
                <c:pt idx="7">
                  <c:v>133.81333333333333</c:v>
                </c:pt>
                <c:pt idx="8">
                  <c:v>134.69333333333336</c:v>
                </c:pt>
                <c:pt idx="9">
                  <c:v>135.22666666666669</c:v>
                </c:pt>
                <c:pt idx="10">
                  <c:v>135.62666666666669</c:v>
                </c:pt>
                <c:pt idx="11">
                  <c:v>135.76000000000002</c:v>
                </c:pt>
                <c:pt idx="12">
                  <c:v>136.08000000000001</c:v>
                </c:pt>
                <c:pt idx="13">
                  <c:v>136.66666666666666</c:v>
                </c:pt>
              </c:numCache>
            </c:numRef>
          </c:cat>
          <c:val>
            <c:numRef>
              <c:f>Sheet3!$BA$65:$BA$78</c:f>
              <c:numCache>
                <c:formatCode>0.00%</c:formatCode>
                <c:ptCount val="14"/>
                <c:pt idx="0">
                  <c:v>0.52746843688890843</c:v>
                </c:pt>
                <c:pt idx="1">
                  <c:v>0.56253188891860884</c:v>
                </c:pt>
                <c:pt idx="2">
                  <c:v>0.54342120395432714</c:v>
                </c:pt>
                <c:pt idx="3">
                  <c:v>0.55856166329815216</c:v>
                </c:pt>
                <c:pt idx="4">
                  <c:v>0.58313792558127309</c:v>
                </c:pt>
                <c:pt idx="5">
                  <c:v>0.75295277138654582</c:v>
                </c:pt>
                <c:pt idx="6">
                  <c:v>0.57763635880680286</c:v>
                </c:pt>
                <c:pt idx="7">
                  <c:v>0.74938810217856811</c:v>
                </c:pt>
                <c:pt idx="8">
                  <c:v>0.5677676230218065</c:v>
                </c:pt>
                <c:pt idx="9">
                  <c:v>0.74077833774877022</c:v>
                </c:pt>
                <c:pt idx="10">
                  <c:v>0.54680540434311609</c:v>
                </c:pt>
                <c:pt idx="11">
                  <c:v>0.73659006348867362</c:v>
                </c:pt>
                <c:pt idx="12">
                  <c:v>0.5978902457411267</c:v>
                </c:pt>
                <c:pt idx="13">
                  <c:v>0.74515480021471081</c:v>
                </c:pt>
              </c:numCache>
            </c:numRef>
          </c:val>
          <c:smooth val="0"/>
          <c:extLst>
            <c:ext xmlns:c16="http://schemas.microsoft.com/office/drawing/2014/chart" uri="{C3380CC4-5D6E-409C-BE32-E72D297353CC}">
              <c16:uniqueId val="{00000000-BF15-41F2-B2C5-05DE68DD8AA1}"/>
            </c:ext>
          </c:extLst>
        </c:ser>
        <c:ser>
          <c:idx val="1"/>
          <c:order val="1"/>
          <c:tx>
            <c:v>WF</c:v>
          </c:tx>
          <c:cat>
            <c:numRef>
              <c:f>Sheet3!$AX$65:$AX$78</c:f>
              <c:numCache>
                <c:formatCode>0.00</c:formatCode>
                <c:ptCount val="14"/>
                <c:pt idx="0">
                  <c:v>130.16</c:v>
                </c:pt>
                <c:pt idx="1">
                  <c:v>131.09333333333333</c:v>
                </c:pt>
                <c:pt idx="2">
                  <c:v>131.49333333333334</c:v>
                </c:pt>
                <c:pt idx="3">
                  <c:v>132.02666666666667</c:v>
                </c:pt>
                <c:pt idx="4">
                  <c:v>132.48000000000002</c:v>
                </c:pt>
                <c:pt idx="5">
                  <c:v>133.14666666666668</c:v>
                </c:pt>
                <c:pt idx="6">
                  <c:v>133.65333333333334</c:v>
                </c:pt>
                <c:pt idx="7">
                  <c:v>133.81333333333333</c:v>
                </c:pt>
                <c:pt idx="8">
                  <c:v>134.69333333333336</c:v>
                </c:pt>
                <c:pt idx="9">
                  <c:v>135.22666666666669</c:v>
                </c:pt>
                <c:pt idx="10">
                  <c:v>135.62666666666669</c:v>
                </c:pt>
                <c:pt idx="11">
                  <c:v>135.76000000000002</c:v>
                </c:pt>
                <c:pt idx="12">
                  <c:v>136.08000000000001</c:v>
                </c:pt>
                <c:pt idx="13">
                  <c:v>136.66666666666666</c:v>
                </c:pt>
              </c:numCache>
            </c:numRef>
          </c:cat>
          <c:val>
            <c:numRef>
              <c:f>Sheet3!$BB$65:$BB$78</c:f>
              <c:numCache>
                <c:formatCode>0.00%</c:formatCode>
                <c:ptCount val="14"/>
                <c:pt idx="0">
                  <c:v>0.31976115336472843</c:v>
                </c:pt>
                <c:pt idx="1">
                  <c:v>0.31721412851042335</c:v>
                </c:pt>
                <c:pt idx="2">
                  <c:v>0.29428456752433269</c:v>
                </c:pt>
                <c:pt idx="3">
                  <c:v>0.26675413378132928</c:v>
                </c:pt>
                <c:pt idx="4">
                  <c:v>0.34141559127621851</c:v>
                </c:pt>
                <c:pt idx="5">
                  <c:v>0.31386306587748147</c:v>
                </c:pt>
                <c:pt idx="6">
                  <c:v>0.29085126239152748</c:v>
                </c:pt>
                <c:pt idx="7">
                  <c:v>0.32543108998437797</c:v>
                </c:pt>
                <c:pt idx="8">
                  <c:v>0.36725178047191565</c:v>
                </c:pt>
                <c:pt idx="9">
                  <c:v>0.35177161802683821</c:v>
                </c:pt>
                <c:pt idx="10">
                  <c:v>0.34304397478921717</c:v>
                </c:pt>
                <c:pt idx="11">
                  <c:v>0.36382878719076445</c:v>
                </c:pt>
                <c:pt idx="12">
                  <c:v>0.3145504720942503</c:v>
                </c:pt>
                <c:pt idx="13">
                  <c:v>0.33865453823070957</c:v>
                </c:pt>
              </c:numCache>
            </c:numRef>
          </c:val>
          <c:smooth val="0"/>
          <c:extLst>
            <c:ext xmlns:c16="http://schemas.microsoft.com/office/drawing/2014/chart" uri="{C3380CC4-5D6E-409C-BE32-E72D297353CC}">
              <c16:uniqueId val="{00000001-BF15-41F2-B2C5-05DE68DD8AA1}"/>
            </c:ext>
          </c:extLst>
        </c:ser>
        <c:dLbls>
          <c:showLegendKey val="0"/>
          <c:showVal val="0"/>
          <c:showCatName val="0"/>
          <c:showSerName val="0"/>
          <c:showPercent val="0"/>
          <c:showBubbleSize val="0"/>
        </c:dLbls>
        <c:marker val="1"/>
        <c:smooth val="0"/>
        <c:axId val="1205785536"/>
        <c:axId val="1205780096"/>
      </c:lineChart>
      <c:catAx>
        <c:axId val="1205785536"/>
        <c:scaling>
          <c:orientation val="minMax"/>
        </c:scaling>
        <c:delete val="0"/>
        <c:axPos val="b"/>
        <c:numFmt formatCode="0.00" sourceLinked="1"/>
        <c:majorTickMark val="none"/>
        <c:minorTickMark val="none"/>
        <c:tickLblPos val="nextTo"/>
        <c:crossAx val="1205780096"/>
        <c:crosses val="autoZero"/>
        <c:auto val="1"/>
        <c:lblAlgn val="ctr"/>
        <c:lblOffset val="100"/>
        <c:noMultiLvlLbl val="0"/>
      </c:catAx>
      <c:valAx>
        <c:axId val="1205780096"/>
        <c:scaling>
          <c:orientation val="minMax"/>
        </c:scaling>
        <c:delete val="0"/>
        <c:axPos val="l"/>
        <c:majorGridlines/>
        <c:title>
          <c:tx>
            <c:rich>
              <a:bodyPr rot="-5400000" vert="horz"/>
              <a:lstStyle/>
              <a:p>
                <a:pPr>
                  <a:defRPr/>
                </a:pPr>
                <a:r>
                  <a:rPr lang="en-US"/>
                  <a:t>CF &amp; WF</a:t>
                </a:r>
              </a:p>
            </c:rich>
          </c:tx>
          <c:overlay val="0"/>
        </c:title>
        <c:numFmt formatCode="0.00%" sourceLinked="1"/>
        <c:majorTickMark val="none"/>
        <c:minorTickMark val="none"/>
        <c:tickLblPos val="nextTo"/>
        <c:crossAx val="1205785536"/>
        <c:crosses val="autoZero"/>
        <c:crossBetween val="between"/>
      </c:valAx>
      <c:dTable>
        <c:showHorzBorder val="1"/>
        <c:showVertBorder val="1"/>
        <c:showOutline val="1"/>
        <c:showKeys val="1"/>
      </c:dTable>
    </c:plotArea>
    <c:plotVisOnly val="1"/>
    <c:dispBlanksAs val="gap"/>
    <c:showDLblsOverMax val="0"/>
  </c:chart>
  <c:printSettings>
    <c:headerFooter/>
    <c:pageMargins b="0.75000000000000555" l="0.70000000000000062" r="0.70000000000000062" t="0.7500000000000055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Void Ratio in Shilstone Box</a:t>
            </a:r>
          </a:p>
        </c:rich>
      </c:tx>
      <c:layout>
        <c:manualLayout>
          <c:xMode val="edge"/>
          <c:yMode val="edge"/>
          <c:x val="0.66301361194554465"/>
          <c:y val="9.8887476952210767E-3"/>
        </c:manualLayout>
      </c:layout>
      <c:overlay val="0"/>
    </c:title>
    <c:autoTitleDeleted val="0"/>
    <c:plotArea>
      <c:layout>
        <c:manualLayout>
          <c:layoutTarget val="inner"/>
          <c:xMode val="edge"/>
          <c:yMode val="edge"/>
          <c:x val="0.10882757783932591"/>
          <c:y val="2.8680742429528221E-2"/>
          <c:w val="0.72444881889763779"/>
          <c:h val="0.85235664148804169"/>
        </c:manualLayout>
      </c:layout>
      <c:scatterChart>
        <c:scatterStyle val="lineMarker"/>
        <c:varyColors val="0"/>
        <c:ser>
          <c:idx val="0"/>
          <c:order val="0"/>
          <c:spPr>
            <a:ln w="28575">
              <a:noFill/>
            </a:ln>
          </c:spPr>
          <c:xVal>
            <c:numRef>
              <c:f>Sheet3!$CF$19:$CF$32</c:f>
              <c:numCache>
                <c:formatCode>0.00%</c:formatCode>
                <c:ptCount val="14"/>
                <c:pt idx="0">
                  <c:v>0.55856166329815216</c:v>
                </c:pt>
                <c:pt idx="1">
                  <c:v>0.57763635880680286</c:v>
                </c:pt>
                <c:pt idx="2">
                  <c:v>0.54342120395432714</c:v>
                </c:pt>
                <c:pt idx="3">
                  <c:v>0.56253188891860884</c:v>
                </c:pt>
                <c:pt idx="4">
                  <c:v>0.52746843688890843</c:v>
                </c:pt>
                <c:pt idx="5">
                  <c:v>0.58313792558127309</c:v>
                </c:pt>
                <c:pt idx="6">
                  <c:v>0.54680540434311609</c:v>
                </c:pt>
                <c:pt idx="7">
                  <c:v>0.5677676230218065</c:v>
                </c:pt>
                <c:pt idx="8">
                  <c:v>0.5978902457411267</c:v>
                </c:pt>
                <c:pt idx="9">
                  <c:v>0.75295277138654582</c:v>
                </c:pt>
                <c:pt idx="10">
                  <c:v>0.74938810217856811</c:v>
                </c:pt>
                <c:pt idx="11">
                  <c:v>0.74515480021471081</c:v>
                </c:pt>
                <c:pt idx="12">
                  <c:v>0.74077833774877022</c:v>
                </c:pt>
                <c:pt idx="13">
                  <c:v>0.73659006348867362</c:v>
                </c:pt>
              </c:numCache>
            </c:numRef>
          </c:xVal>
          <c:yVal>
            <c:numRef>
              <c:f>Sheet3!$CG$19:$CG$32</c:f>
              <c:numCache>
                <c:formatCode>0.00%</c:formatCode>
                <c:ptCount val="14"/>
                <c:pt idx="0">
                  <c:v>0.26675413378132928</c:v>
                </c:pt>
                <c:pt idx="1">
                  <c:v>0.29085126239152748</c:v>
                </c:pt>
                <c:pt idx="2">
                  <c:v>0.29428456752433269</c:v>
                </c:pt>
                <c:pt idx="3">
                  <c:v>0.31721412851042335</c:v>
                </c:pt>
                <c:pt idx="4">
                  <c:v>0.31976115336472843</c:v>
                </c:pt>
                <c:pt idx="5">
                  <c:v>0.34141559127621851</c:v>
                </c:pt>
                <c:pt idx="6">
                  <c:v>0.34304397478921717</c:v>
                </c:pt>
                <c:pt idx="7">
                  <c:v>0.36725178047191565</c:v>
                </c:pt>
                <c:pt idx="8">
                  <c:v>0.3145504720942503</c:v>
                </c:pt>
                <c:pt idx="9">
                  <c:v>0.31386306587748147</c:v>
                </c:pt>
                <c:pt idx="10">
                  <c:v>0.32543108998437797</c:v>
                </c:pt>
                <c:pt idx="11">
                  <c:v>0.33865453823070957</c:v>
                </c:pt>
                <c:pt idx="12">
                  <c:v>0.35177161802683821</c:v>
                </c:pt>
                <c:pt idx="13">
                  <c:v>0.36382878719076445</c:v>
                </c:pt>
              </c:numCache>
            </c:numRef>
          </c:yVal>
          <c:smooth val="0"/>
          <c:extLst>
            <c:ext xmlns:c16="http://schemas.microsoft.com/office/drawing/2014/chart" uri="{C3380CC4-5D6E-409C-BE32-E72D297353CC}">
              <c16:uniqueId val="{00000000-70CA-41D5-81EE-BDF327C771F2}"/>
            </c:ext>
          </c:extLst>
        </c:ser>
        <c:dLbls>
          <c:showLegendKey val="0"/>
          <c:showVal val="0"/>
          <c:showCatName val="0"/>
          <c:showSerName val="0"/>
          <c:showPercent val="0"/>
          <c:showBubbleSize val="0"/>
        </c:dLbls>
        <c:axId val="1205779552"/>
        <c:axId val="1205784448"/>
      </c:scatterChart>
      <c:valAx>
        <c:axId val="1205779552"/>
        <c:scaling>
          <c:orientation val="minMax"/>
          <c:min val="0.45"/>
        </c:scaling>
        <c:delete val="0"/>
        <c:axPos val="b"/>
        <c:title>
          <c:tx>
            <c:rich>
              <a:bodyPr/>
              <a:lstStyle/>
              <a:p>
                <a:pPr>
                  <a:defRPr/>
                </a:pPr>
                <a:r>
                  <a:rPr lang="en-US"/>
                  <a:t>Coarsness Factor</a:t>
                </a:r>
              </a:p>
            </c:rich>
          </c:tx>
          <c:overlay val="0"/>
        </c:title>
        <c:numFmt formatCode="0.00%" sourceLinked="1"/>
        <c:majorTickMark val="out"/>
        <c:minorTickMark val="none"/>
        <c:tickLblPos val="nextTo"/>
        <c:crossAx val="1205784448"/>
        <c:crosses val="autoZero"/>
        <c:crossBetween val="midCat"/>
      </c:valAx>
      <c:valAx>
        <c:axId val="1205784448"/>
        <c:scaling>
          <c:orientation val="minMax"/>
          <c:min val="0.24000000000000021"/>
        </c:scaling>
        <c:delete val="0"/>
        <c:axPos val="l"/>
        <c:majorGridlines/>
        <c:title>
          <c:tx>
            <c:rich>
              <a:bodyPr rot="-5400000" vert="horz"/>
              <a:lstStyle/>
              <a:p>
                <a:pPr>
                  <a:defRPr/>
                </a:pPr>
                <a:r>
                  <a:rPr lang="en-US"/>
                  <a:t>Workability Factor</a:t>
                </a:r>
              </a:p>
            </c:rich>
          </c:tx>
          <c:overlay val="0"/>
        </c:title>
        <c:numFmt formatCode="0.00%" sourceLinked="1"/>
        <c:majorTickMark val="out"/>
        <c:minorTickMark val="none"/>
        <c:tickLblPos val="nextTo"/>
        <c:crossAx val="1205779552"/>
        <c:crosses val="autoZero"/>
        <c:crossBetween val="midCat"/>
      </c:valAx>
      <c:spPr>
        <a:noFill/>
      </c:spPr>
    </c:plotArea>
    <c:legend>
      <c:legendPos val="r"/>
      <c:overlay val="0"/>
    </c:legend>
    <c:plotVisOnly val="1"/>
    <c:dispBlanksAs val="gap"/>
    <c:showDLblsOverMax val="0"/>
  </c:chart>
  <c:printSettings>
    <c:headerFooter/>
    <c:pageMargins b="0.75000000000000522" l="0.70000000000000062" r="0.70000000000000062" t="0.75000000000000522"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412158384488947E-2"/>
          <c:y val="4.5948866201750753E-2"/>
          <c:w val="0.83939300918832815"/>
          <c:h val="0.81331780764951789"/>
        </c:manualLayout>
      </c:layout>
      <c:lineChart>
        <c:grouping val="standard"/>
        <c:varyColors val="0"/>
        <c:ser>
          <c:idx val="1"/>
          <c:order val="0"/>
          <c:tx>
            <c:v>Coarse I</c:v>
          </c:tx>
          <c:marker>
            <c:symbol val="none"/>
          </c:marker>
          <c:val>
            <c:numRef>
              <c:f>'Sieve Analysis'!$J$7:$J$18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829-40A2-9D8E-470F9AF4E218}"/>
            </c:ext>
          </c:extLst>
        </c:ser>
        <c:ser>
          <c:idx val="2"/>
          <c:order val="1"/>
          <c:tx>
            <c:v>Coarse II</c:v>
          </c:tx>
          <c:marker>
            <c:symbol val="none"/>
          </c:marker>
          <c:cat>
            <c:strRef>
              <c:f>'[2]Mix Design'!$B$46:$B$57</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'Sieve Analysis'!$K$7:$K$18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829-40A2-9D8E-470F9AF4E218}"/>
            </c:ext>
          </c:extLst>
        </c:ser>
        <c:ser>
          <c:idx val="3"/>
          <c:order val="2"/>
          <c:tx>
            <c:v>Coarse III</c:v>
          </c:tx>
          <c:marker>
            <c:symbol val="none"/>
          </c:marker>
          <c:val>
            <c:numRef>
              <c:f>'Sieve Analysis'!$L$7:$L$18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B829-40A2-9D8E-470F9AF4E218}"/>
            </c:ext>
          </c:extLst>
        </c:ser>
        <c:ser>
          <c:idx val="4"/>
          <c:order val="3"/>
          <c:tx>
            <c:v>Fine I</c:v>
          </c:tx>
          <c:marker>
            <c:symbol val="none"/>
          </c:marker>
          <c:cat>
            <c:strRef>
              <c:f>'[2]Mix Design'!$B$46:$B$57</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'Sieve Analysis'!$M$7:$M$18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B829-40A2-9D8E-470F9AF4E218}"/>
            </c:ext>
          </c:extLst>
        </c:ser>
        <c:ser>
          <c:idx val="5"/>
          <c:order val="4"/>
          <c:tx>
            <c:v>Fine II</c:v>
          </c:tx>
          <c:spPr>
            <a:ln>
              <a:solidFill>
                <a:schemeClr val="accent6"/>
              </a:solidFill>
            </a:ln>
          </c:spPr>
          <c:marker>
            <c:symbol val="none"/>
          </c:marker>
          <c:cat>
            <c:strRef>
              <c:f>'[2]Mix Design'!$B$46:$B$57</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'Sieve Analysis'!$N$7:$N$18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B829-40A2-9D8E-470F9AF4E218}"/>
            </c:ext>
          </c:extLst>
        </c:ser>
        <c:dLbls>
          <c:showLegendKey val="0"/>
          <c:showVal val="0"/>
          <c:showCatName val="0"/>
          <c:showSerName val="0"/>
          <c:showPercent val="0"/>
          <c:showBubbleSize val="0"/>
        </c:dLbls>
        <c:smooth val="0"/>
        <c:axId val="1199682736"/>
        <c:axId val="1199672944"/>
      </c:lineChart>
      <c:catAx>
        <c:axId val="1199682736"/>
        <c:scaling>
          <c:orientation val="maxMin"/>
        </c:scaling>
        <c:delete val="0"/>
        <c:axPos val="b"/>
        <c:numFmt formatCode="General" sourceLinked="1"/>
        <c:majorTickMark val="none"/>
        <c:minorTickMark val="none"/>
        <c:tickLblPos val="nextTo"/>
        <c:crossAx val="1199672944"/>
        <c:crosses val="autoZero"/>
        <c:auto val="1"/>
        <c:lblAlgn val="ctr"/>
        <c:lblOffset val="100"/>
        <c:noMultiLvlLbl val="0"/>
      </c:catAx>
      <c:valAx>
        <c:axId val="1199672944"/>
        <c:scaling>
          <c:orientation val="minMax"/>
          <c:min val="0"/>
        </c:scaling>
        <c:delete val="0"/>
        <c:axPos val="l"/>
        <c:title>
          <c:tx>
            <c:rich>
              <a:bodyPr rot="-5400000" vert="horz"/>
              <a:lstStyle/>
              <a:p>
                <a:pPr>
                  <a:defRPr/>
                </a:pPr>
                <a:r>
                  <a:rPr lang="en-US"/>
                  <a:t>% Retained</a:t>
                </a:r>
              </a:p>
            </c:rich>
          </c:tx>
          <c:overlay val="0"/>
        </c:title>
        <c:numFmt formatCode="0%" sourceLinked="0"/>
        <c:majorTickMark val="none"/>
        <c:minorTickMark val="none"/>
        <c:tickLblPos val="nextTo"/>
        <c:crossAx val="1199682736"/>
        <c:crosses val="max"/>
        <c:crossBetween val="between"/>
      </c:valAx>
    </c:plotArea>
    <c:legend>
      <c:legendPos val="r"/>
      <c:overlay val="0"/>
    </c:legend>
    <c:plotVisOnly val="1"/>
    <c:dispBlanksAs val="gap"/>
    <c:showDLblsOverMax val="0"/>
  </c:chart>
  <c:spPr>
    <a:ln>
      <a:noFill/>
    </a:ln>
  </c:spPr>
  <c:txPr>
    <a:bodyPr/>
    <a:lstStyle/>
    <a:p>
      <a:pPr>
        <a:defRPr sz="1400">
          <a:latin typeface="Times New Roman" pitchFamily="18" charset="0"/>
          <a:cs typeface="Times New Roman" pitchFamily="18" charset="0"/>
        </a:defRPr>
      </a:pPr>
      <a:endParaRPr lang="en-US"/>
    </a:p>
  </c:txPr>
  <c:printSettings>
    <c:headerFooter/>
    <c:pageMargins b="0.75000000000001077" l="0.70000000000000062" r="0.70000000000000062" t="0.75000000000001077"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412158384488947E-2"/>
          <c:y val="4.5948866201750753E-2"/>
          <c:w val="0.8903663438128101"/>
          <c:h val="0.81331780764951789"/>
        </c:manualLayout>
      </c:layout>
      <c:lineChart>
        <c:grouping val="standard"/>
        <c:varyColors val="0"/>
        <c:ser>
          <c:idx val="0"/>
          <c:order val="0"/>
          <c:tx>
            <c:v>Combined Gradation</c:v>
          </c:tx>
          <c:spPr>
            <a:ln w="38100">
              <a:solidFill>
                <a:schemeClr val="accent6"/>
              </a:solidFill>
            </a:ln>
          </c:spPr>
          <c:marker>
            <c:symbol val="none"/>
          </c:marker>
          <c:cat>
            <c:strRef>
              <c:f>'Tarantula Curve Mix Design'!$B$38:$B$49</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'Tarantula Curve Mix Design'!$D$38:$D$49</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16D-4EC0-99AE-FE650B2EE550}"/>
            </c:ext>
          </c:extLst>
        </c:ser>
        <c:ser>
          <c:idx val="1"/>
          <c:order val="1"/>
          <c:tx>
            <c:v>Maximum Boundary</c:v>
          </c:tx>
          <c:spPr>
            <a:ln>
              <a:solidFill>
                <a:schemeClr val="tx1">
                  <a:lumMod val="50000"/>
                  <a:lumOff val="50000"/>
                </a:schemeClr>
              </a:solidFill>
              <a:prstDash val="lgDash"/>
            </a:ln>
          </c:spPr>
          <c:marker>
            <c:symbol val="none"/>
          </c:marker>
          <c:cat>
            <c:strRef>
              <c:f>'Tarantula Curve Mix Design'!$B$38:$B$49</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'Tarantula Curve Mix Design'!$E$38:$E$49</c:f>
              <c:numCache>
                <c:formatCode>0.00%</c:formatCode>
                <c:ptCount val="12"/>
                <c:pt idx="0">
                  <c:v>0</c:v>
                </c:pt>
                <c:pt idx="1">
                  <c:v>0.16</c:v>
                </c:pt>
                <c:pt idx="2">
                  <c:v>0.2</c:v>
                </c:pt>
                <c:pt idx="3">
                  <c:v>0.2</c:v>
                </c:pt>
                <c:pt idx="4">
                  <c:v>0.2</c:v>
                </c:pt>
                <c:pt idx="5">
                  <c:v>0.2</c:v>
                </c:pt>
                <c:pt idx="6">
                  <c:v>0.12</c:v>
                </c:pt>
                <c:pt idx="7">
                  <c:v>0.12</c:v>
                </c:pt>
                <c:pt idx="8">
                  <c:v>0.2</c:v>
                </c:pt>
                <c:pt idx="9">
                  <c:v>0.2</c:v>
                </c:pt>
                <c:pt idx="10">
                  <c:v>0.1</c:v>
                </c:pt>
                <c:pt idx="11">
                  <c:v>0.02</c:v>
                </c:pt>
              </c:numCache>
            </c:numRef>
          </c:val>
          <c:smooth val="0"/>
          <c:extLst>
            <c:ext xmlns:c16="http://schemas.microsoft.com/office/drawing/2014/chart" uri="{C3380CC4-5D6E-409C-BE32-E72D297353CC}">
              <c16:uniqueId val="{00000001-916D-4EC0-99AE-FE650B2EE550}"/>
            </c:ext>
          </c:extLst>
        </c:ser>
        <c:ser>
          <c:idx val="2"/>
          <c:order val="2"/>
          <c:tx>
            <c:v>Minimum Boundary</c:v>
          </c:tx>
          <c:spPr>
            <a:ln>
              <a:solidFill>
                <a:sysClr val="windowText" lastClr="000000">
                  <a:lumMod val="50000"/>
                  <a:lumOff val="50000"/>
                </a:sysClr>
              </a:solidFill>
              <a:prstDash val="lgDash"/>
            </a:ln>
          </c:spPr>
          <c:marker>
            <c:symbol val="none"/>
          </c:marker>
          <c:dPt>
            <c:idx val="1"/>
            <c:bubble3D val="0"/>
            <c:spPr>
              <a:ln>
                <a:noFill/>
                <a:prstDash val="lgDash"/>
              </a:ln>
            </c:spPr>
            <c:extLst>
              <c:ext xmlns:c16="http://schemas.microsoft.com/office/drawing/2014/chart" uri="{C3380CC4-5D6E-409C-BE32-E72D297353CC}">
                <c16:uniqueId val="{00000003-916D-4EC0-99AE-FE650B2EE550}"/>
              </c:ext>
            </c:extLst>
          </c:dPt>
          <c:dPt>
            <c:idx val="2"/>
            <c:bubble3D val="0"/>
            <c:spPr>
              <a:ln>
                <a:noFill/>
                <a:prstDash val="lgDash"/>
              </a:ln>
            </c:spPr>
            <c:extLst>
              <c:ext xmlns:c16="http://schemas.microsoft.com/office/drawing/2014/chart" uri="{C3380CC4-5D6E-409C-BE32-E72D297353CC}">
                <c16:uniqueId val="{00000005-916D-4EC0-99AE-FE650B2EE550}"/>
              </c:ext>
            </c:extLst>
          </c:dPt>
          <c:dPt>
            <c:idx val="7"/>
            <c:bubble3D val="0"/>
            <c:spPr>
              <a:ln>
                <a:noFill/>
                <a:prstDash val="lgDash"/>
              </a:ln>
            </c:spPr>
            <c:extLst>
              <c:ext xmlns:c16="http://schemas.microsoft.com/office/drawing/2014/chart" uri="{C3380CC4-5D6E-409C-BE32-E72D297353CC}">
                <c16:uniqueId val="{00000007-916D-4EC0-99AE-FE650B2EE550}"/>
              </c:ext>
            </c:extLst>
          </c:dPt>
          <c:dPt>
            <c:idx val="11"/>
            <c:bubble3D val="0"/>
            <c:spPr>
              <a:ln>
                <a:noFill/>
                <a:prstDash val="lgDash"/>
              </a:ln>
            </c:spPr>
            <c:extLst>
              <c:ext xmlns:c16="http://schemas.microsoft.com/office/drawing/2014/chart" uri="{C3380CC4-5D6E-409C-BE32-E72D297353CC}">
                <c16:uniqueId val="{00000009-916D-4EC0-99AE-FE650B2EE550}"/>
              </c:ext>
            </c:extLst>
          </c:dPt>
          <c:cat>
            <c:strRef>
              <c:f>'Tarantula Curve Mix Design'!$B$38:$B$49</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'Tarantula Curve Mix Design'!$F$38:$F$49</c:f>
              <c:numCache>
                <c:formatCode>0.00%</c:formatCode>
                <c:ptCount val="12"/>
                <c:pt idx="0">
                  <c:v>0</c:v>
                </c:pt>
                <c:pt idx="1">
                  <c:v>0</c:v>
                </c:pt>
                <c:pt idx="2">
                  <c:v>0</c:v>
                </c:pt>
                <c:pt idx="3">
                  <c:v>0.04</c:v>
                </c:pt>
                <c:pt idx="4">
                  <c:v>0.04</c:v>
                </c:pt>
                <c:pt idx="5">
                  <c:v>0.04</c:v>
                </c:pt>
                <c:pt idx="6">
                  <c:v>0</c:v>
                </c:pt>
                <c:pt idx="7">
                  <c:v>0</c:v>
                </c:pt>
                <c:pt idx="8">
                  <c:v>0.04</c:v>
                </c:pt>
                <c:pt idx="9">
                  <c:v>0.04</c:v>
                </c:pt>
                <c:pt idx="10">
                  <c:v>0</c:v>
                </c:pt>
                <c:pt idx="11">
                  <c:v>0</c:v>
                </c:pt>
              </c:numCache>
            </c:numRef>
          </c:val>
          <c:smooth val="0"/>
          <c:extLst>
            <c:ext xmlns:c16="http://schemas.microsoft.com/office/drawing/2014/chart" uri="{C3380CC4-5D6E-409C-BE32-E72D297353CC}">
              <c16:uniqueId val="{0000000A-916D-4EC0-99AE-FE650B2EE550}"/>
            </c:ext>
          </c:extLst>
        </c:ser>
        <c:dLbls>
          <c:showLegendKey val="0"/>
          <c:showVal val="0"/>
          <c:showCatName val="0"/>
          <c:showSerName val="0"/>
          <c:showPercent val="0"/>
          <c:showBubbleSize val="0"/>
        </c:dLbls>
        <c:smooth val="0"/>
        <c:axId val="1199673488"/>
        <c:axId val="1199680016"/>
      </c:lineChart>
      <c:catAx>
        <c:axId val="1199673488"/>
        <c:scaling>
          <c:orientation val="maxMin"/>
        </c:scaling>
        <c:delete val="0"/>
        <c:axPos val="b"/>
        <c:numFmt formatCode="General" sourceLinked="1"/>
        <c:majorTickMark val="none"/>
        <c:minorTickMark val="none"/>
        <c:tickLblPos val="nextTo"/>
        <c:crossAx val="1199680016"/>
        <c:crosses val="autoZero"/>
        <c:auto val="1"/>
        <c:lblAlgn val="ctr"/>
        <c:lblOffset val="100"/>
        <c:noMultiLvlLbl val="0"/>
      </c:catAx>
      <c:valAx>
        <c:axId val="1199680016"/>
        <c:scaling>
          <c:orientation val="minMax"/>
        </c:scaling>
        <c:delete val="0"/>
        <c:axPos val="l"/>
        <c:title>
          <c:tx>
            <c:rich>
              <a:bodyPr rot="-5400000" vert="horz"/>
              <a:lstStyle/>
              <a:p>
                <a:pPr>
                  <a:defRPr/>
                </a:pPr>
                <a:r>
                  <a:rPr lang="en-US"/>
                  <a:t>% Retained</a:t>
                </a:r>
              </a:p>
            </c:rich>
          </c:tx>
          <c:overlay val="0"/>
        </c:title>
        <c:numFmt formatCode="0%" sourceLinked="0"/>
        <c:majorTickMark val="none"/>
        <c:minorTickMark val="none"/>
        <c:tickLblPos val="nextTo"/>
        <c:crossAx val="1199673488"/>
        <c:crosses val="max"/>
        <c:crossBetween val="between"/>
      </c:valAx>
    </c:plotArea>
    <c:plotVisOnly val="1"/>
    <c:dispBlanksAs val="gap"/>
    <c:showDLblsOverMax val="0"/>
  </c:chart>
  <c:spPr>
    <a:ln>
      <a:noFill/>
    </a:ln>
  </c:spPr>
  <c:txPr>
    <a:bodyPr/>
    <a:lstStyle/>
    <a:p>
      <a:pPr>
        <a:defRPr sz="1400">
          <a:latin typeface="Times New Roman" pitchFamily="18" charset="0"/>
          <a:cs typeface="Times New Roman" pitchFamily="18" charset="0"/>
        </a:defRPr>
      </a:pPr>
      <a:endParaRPr lang="en-US"/>
    </a:p>
  </c:txPr>
  <c:printSettings>
    <c:headerFooter/>
    <c:pageMargins b="0.75000000000001077" l="0.70000000000000062" r="0.70000000000000062" t="0.75000000000001077"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MIX 10</a:t>
            </a:r>
          </a:p>
        </c:rich>
      </c:tx>
      <c:layout>
        <c:manualLayout>
          <c:xMode val="edge"/>
          <c:yMode val="edge"/>
          <c:x val="0.87277454614078442"/>
          <c:y val="0.13240954580446726"/>
        </c:manualLayout>
      </c:layout>
      <c:overlay val="1"/>
      <c:spPr>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0800000" scaled="1"/>
          <a:tileRect/>
        </a:gradFill>
      </c:spPr>
    </c:title>
    <c:autoTitleDeleted val="0"/>
    <c:plotArea>
      <c:layout>
        <c:manualLayout>
          <c:layoutTarget val="inner"/>
          <c:xMode val="edge"/>
          <c:yMode val="edge"/>
          <c:x val="0.10749892117202289"/>
          <c:y val="2.0849957265734412E-2"/>
          <c:w val="0.75074051661455687"/>
          <c:h val="0.84329678189763213"/>
        </c:manualLayout>
      </c:layout>
      <c:scatterChart>
        <c:scatterStyle val="lineMarker"/>
        <c:varyColors val="0"/>
        <c:ser>
          <c:idx val="0"/>
          <c:order val="0"/>
          <c:spPr>
            <a:ln w="25400" cap="flat" cmpd="sng" algn="ctr">
              <a:solidFill>
                <a:schemeClr val="dk1"/>
              </a:solidFill>
              <a:prstDash val="solid"/>
            </a:ln>
            <a:effectLst/>
          </c:spPr>
          <c:marker>
            <c:symbol val="none"/>
          </c:marker>
          <c:xVal>
            <c:numRef>
              <c:f>Sheet5!$G$47:$G$48</c:f>
              <c:numCache>
                <c:formatCode>0%</c:formatCode>
                <c:ptCount val="2"/>
                <c:pt idx="0">
                  <c:v>0.8</c:v>
                </c:pt>
                <c:pt idx="1">
                  <c:v>0.3</c:v>
                </c:pt>
              </c:numCache>
            </c:numRef>
          </c:xVal>
          <c:yVal>
            <c:numRef>
              <c:f>Sheet5!$H$47:$H$48</c:f>
              <c:numCache>
                <c:formatCode>0%</c:formatCode>
                <c:ptCount val="2"/>
                <c:pt idx="0" formatCode="0.0%">
                  <c:v>0.26500000000000001</c:v>
                </c:pt>
                <c:pt idx="1">
                  <c:v>0.35</c:v>
                </c:pt>
              </c:numCache>
            </c:numRef>
          </c:yVal>
          <c:smooth val="0"/>
          <c:extLst>
            <c:ext xmlns:c16="http://schemas.microsoft.com/office/drawing/2014/chart" uri="{C3380CC4-5D6E-409C-BE32-E72D297353CC}">
              <c16:uniqueId val="{00000000-EE9B-4811-8498-BC45465CBD7D}"/>
            </c:ext>
          </c:extLst>
        </c:ser>
        <c:ser>
          <c:idx val="1"/>
          <c:order val="1"/>
          <c:spPr>
            <a:ln w="25400" cap="flat" cmpd="sng" algn="ctr">
              <a:solidFill>
                <a:schemeClr val="dk1"/>
              </a:solidFill>
              <a:prstDash val="solid"/>
            </a:ln>
            <a:effectLst/>
          </c:spPr>
          <c:marker>
            <c:symbol val="none"/>
          </c:marker>
          <c:xVal>
            <c:numRef>
              <c:f>Sheet5!$G$49:$G$50</c:f>
              <c:numCache>
                <c:formatCode>0.00%</c:formatCode>
                <c:ptCount val="2"/>
                <c:pt idx="0" formatCode="0%">
                  <c:v>0.8</c:v>
                </c:pt>
                <c:pt idx="1">
                  <c:v>0.3</c:v>
                </c:pt>
              </c:numCache>
            </c:numRef>
          </c:xVal>
          <c:yVal>
            <c:numRef>
              <c:f>Sheet5!$H$49:$H$50</c:f>
              <c:numCache>
                <c:formatCode>0.00%</c:formatCode>
                <c:ptCount val="2"/>
                <c:pt idx="0" formatCode="0%">
                  <c:v>0.38</c:v>
                </c:pt>
                <c:pt idx="1">
                  <c:v>0.46500000000000002</c:v>
                </c:pt>
              </c:numCache>
            </c:numRef>
          </c:yVal>
          <c:smooth val="0"/>
          <c:extLst>
            <c:ext xmlns:c16="http://schemas.microsoft.com/office/drawing/2014/chart" uri="{C3380CC4-5D6E-409C-BE32-E72D297353CC}">
              <c16:uniqueId val="{00000001-EE9B-4811-8498-BC45465CBD7D}"/>
            </c:ext>
          </c:extLst>
        </c:ser>
        <c:ser>
          <c:idx val="2"/>
          <c:order val="2"/>
          <c:spPr>
            <a:ln w="25400" cap="flat" cmpd="sng" algn="ctr">
              <a:solidFill>
                <a:schemeClr val="dk1"/>
              </a:solidFill>
              <a:prstDash val="solid"/>
            </a:ln>
            <a:effectLst/>
          </c:spPr>
          <c:marker>
            <c:symbol val="none"/>
          </c:marker>
          <c:xVal>
            <c:numRef>
              <c:f>Sheet5!$G$51:$G$52</c:f>
              <c:numCache>
                <c:formatCode>0.00%</c:formatCode>
                <c:ptCount val="2"/>
                <c:pt idx="0">
                  <c:v>0.75</c:v>
                </c:pt>
                <c:pt idx="1">
                  <c:v>0.75</c:v>
                </c:pt>
              </c:numCache>
            </c:numRef>
          </c:xVal>
          <c:yVal>
            <c:numRef>
              <c:f>Sheet5!$H$51:$H$52</c:f>
              <c:numCache>
                <c:formatCode>0.00%</c:formatCode>
                <c:ptCount val="2"/>
                <c:pt idx="0">
                  <c:v>0.27350000000000002</c:v>
                </c:pt>
                <c:pt idx="1">
                  <c:v>0.38850000000000001</c:v>
                </c:pt>
              </c:numCache>
            </c:numRef>
          </c:yVal>
          <c:smooth val="0"/>
          <c:extLst>
            <c:ext xmlns:c16="http://schemas.microsoft.com/office/drawing/2014/chart" uri="{C3380CC4-5D6E-409C-BE32-E72D297353CC}">
              <c16:uniqueId val="{00000002-EE9B-4811-8498-BC45465CBD7D}"/>
            </c:ext>
          </c:extLst>
        </c:ser>
        <c:ser>
          <c:idx val="3"/>
          <c:order val="3"/>
          <c:spPr>
            <a:ln w="25400" cap="flat" cmpd="sng" algn="ctr">
              <a:solidFill>
                <a:schemeClr val="dk1"/>
              </a:solidFill>
              <a:prstDash val="solid"/>
            </a:ln>
            <a:effectLst/>
          </c:spPr>
          <c:marker>
            <c:symbol val="none"/>
          </c:marker>
          <c:xVal>
            <c:numRef>
              <c:f>Sheet5!$G$53:$G$54</c:f>
              <c:numCache>
                <c:formatCode>0.00%</c:formatCode>
                <c:ptCount val="2"/>
                <c:pt idx="0">
                  <c:v>0.45</c:v>
                </c:pt>
                <c:pt idx="1">
                  <c:v>0.45</c:v>
                </c:pt>
              </c:numCache>
            </c:numRef>
          </c:xVal>
          <c:yVal>
            <c:numRef>
              <c:f>Sheet5!$H$53:$H$54</c:f>
              <c:numCache>
                <c:formatCode>0.00%</c:formatCode>
                <c:ptCount val="2"/>
                <c:pt idx="0">
                  <c:v>0.32450000000000001</c:v>
                </c:pt>
                <c:pt idx="1">
                  <c:v>0.4395</c:v>
                </c:pt>
              </c:numCache>
            </c:numRef>
          </c:yVal>
          <c:smooth val="0"/>
          <c:extLst>
            <c:ext xmlns:c16="http://schemas.microsoft.com/office/drawing/2014/chart" uri="{C3380CC4-5D6E-409C-BE32-E72D297353CC}">
              <c16:uniqueId val="{00000003-EE9B-4811-8498-BC45465CBD7D}"/>
            </c:ext>
          </c:extLst>
        </c:ser>
        <c:ser>
          <c:idx val="4"/>
          <c:order val="4"/>
          <c:spPr>
            <a:ln w="25400" cap="flat" cmpd="sng" algn="ctr">
              <a:solidFill>
                <a:schemeClr val="accent6"/>
              </a:solidFill>
              <a:prstDash val="solid"/>
            </a:ln>
            <a:effectLst/>
          </c:spPr>
          <c:marker>
            <c:symbol val="none"/>
          </c:marker>
          <c:xVal>
            <c:numRef>
              <c:f>Sheet5!$B$49:$B$52</c:f>
              <c:numCache>
                <c:formatCode>0%</c:formatCode>
                <c:ptCount val="4"/>
                <c:pt idx="0">
                  <c:v>0.68</c:v>
                </c:pt>
                <c:pt idx="1">
                  <c:v>0.68</c:v>
                </c:pt>
                <c:pt idx="2">
                  <c:v>0.52</c:v>
                </c:pt>
                <c:pt idx="3">
                  <c:v>0.52</c:v>
                </c:pt>
              </c:numCache>
            </c:numRef>
          </c:xVal>
          <c:yVal>
            <c:numRef>
              <c:f>Sheet5!$C$49:$C$52</c:f>
              <c:numCache>
                <c:formatCode>0%</c:formatCode>
                <c:ptCount val="4"/>
                <c:pt idx="0">
                  <c:v>0.32</c:v>
                </c:pt>
                <c:pt idx="1">
                  <c:v>0.36</c:v>
                </c:pt>
                <c:pt idx="2">
                  <c:v>0.38</c:v>
                </c:pt>
                <c:pt idx="3">
                  <c:v>0.34</c:v>
                </c:pt>
              </c:numCache>
            </c:numRef>
          </c:yVal>
          <c:smooth val="0"/>
          <c:extLst>
            <c:ext xmlns:c16="http://schemas.microsoft.com/office/drawing/2014/chart" uri="{C3380CC4-5D6E-409C-BE32-E72D297353CC}">
              <c16:uniqueId val="{00000004-EE9B-4811-8498-BC45465CBD7D}"/>
            </c:ext>
          </c:extLst>
        </c:ser>
        <c:ser>
          <c:idx val="5"/>
          <c:order val="5"/>
          <c:spPr>
            <a:ln w="25400" cap="flat" cmpd="sng" algn="ctr">
              <a:solidFill>
                <a:schemeClr val="accent6"/>
              </a:solidFill>
              <a:prstDash val="solid"/>
            </a:ln>
            <a:effectLst/>
          </c:spPr>
          <c:marker>
            <c:symbol val="none"/>
          </c:marker>
          <c:xVal>
            <c:numRef>
              <c:f>Sheet5!$D$49:$D$50</c:f>
              <c:numCache>
                <c:formatCode>0%</c:formatCode>
                <c:ptCount val="2"/>
                <c:pt idx="0">
                  <c:v>0.68</c:v>
                </c:pt>
                <c:pt idx="1">
                  <c:v>0.52</c:v>
                </c:pt>
              </c:numCache>
            </c:numRef>
          </c:xVal>
          <c:yVal>
            <c:numRef>
              <c:f>Sheet5!$E$49:$E$50</c:f>
              <c:numCache>
                <c:formatCode>0%</c:formatCode>
                <c:ptCount val="2"/>
                <c:pt idx="0">
                  <c:v>0.32</c:v>
                </c:pt>
                <c:pt idx="1">
                  <c:v>0.34</c:v>
                </c:pt>
              </c:numCache>
            </c:numRef>
          </c:yVal>
          <c:smooth val="0"/>
          <c:extLst>
            <c:ext xmlns:c16="http://schemas.microsoft.com/office/drawing/2014/chart" uri="{C3380CC4-5D6E-409C-BE32-E72D297353CC}">
              <c16:uniqueId val="{00000005-EE9B-4811-8498-BC45465CBD7D}"/>
            </c:ext>
          </c:extLst>
        </c:ser>
        <c:ser>
          <c:idx val="6"/>
          <c:order val="6"/>
          <c:marker>
            <c:spPr>
              <a:solidFill>
                <a:srgbClr val="0070C0"/>
              </a:solidFill>
            </c:spPr>
          </c:marker>
          <c:xVal>
            <c:numRef>
              <c:f>Sheet5!$AG$131</c:f>
              <c:numCache>
                <c:formatCode>0%</c:formatCode>
                <c:ptCount val="1"/>
                <c:pt idx="0">
                  <c:v>0</c:v>
                </c:pt>
              </c:numCache>
            </c:numRef>
          </c:xVal>
          <c:yVal>
            <c:numRef>
              <c:f>Sheet5!$AG$132</c:f>
              <c:numCache>
                <c:formatCode>0%</c:formatCode>
                <c:ptCount val="1"/>
                <c:pt idx="0">
                  <c:v>0</c:v>
                </c:pt>
              </c:numCache>
            </c:numRef>
          </c:yVal>
          <c:smooth val="0"/>
          <c:extLst>
            <c:ext xmlns:c16="http://schemas.microsoft.com/office/drawing/2014/chart" uri="{C3380CC4-5D6E-409C-BE32-E72D297353CC}">
              <c16:uniqueId val="{00000006-EE9B-4811-8498-BC45465CBD7D}"/>
            </c:ext>
          </c:extLst>
        </c:ser>
        <c:dLbls>
          <c:showLegendKey val="0"/>
          <c:showVal val="0"/>
          <c:showCatName val="0"/>
          <c:showSerName val="0"/>
          <c:showPercent val="0"/>
          <c:showBubbleSize val="0"/>
        </c:dLbls>
        <c:axId val="1199680560"/>
        <c:axId val="1199674032"/>
      </c:scatterChart>
      <c:valAx>
        <c:axId val="1199680560"/>
        <c:scaling>
          <c:orientation val="maxMin"/>
          <c:max val="0.8"/>
          <c:min val="0.30000000000000032"/>
        </c:scaling>
        <c:delete val="0"/>
        <c:axPos val="b"/>
        <c:title>
          <c:tx>
            <c:rich>
              <a:bodyPr/>
              <a:lstStyle/>
              <a:p>
                <a:pPr>
                  <a:defRPr sz="1100"/>
                </a:pPr>
                <a:r>
                  <a:rPr lang="en-US" sz="1100"/>
                  <a:t>Coarsness Factor</a:t>
                </a:r>
              </a:p>
            </c:rich>
          </c:tx>
          <c:overlay val="0"/>
        </c:title>
        <c:numFmt formatCode="0%" sourceLinked="1"/>
        <c:majorTickMark val="out"/>
        <c:minorTickMark val="none"/>
        <c:tickLblPos val="nextTo"/>
        <c:crossAx val="1199674032"/>
        <c:crosses val="autoZero"/>
        <c:crossBetween val="midCat"/>
      </c:valAx>
      <c:valAx>
        <c:axId val="1199674032"/>
        <c:scaling>
          <c:orientation val="minMax"/>
          <c:max val="0.5"/>
          <c:min val="0.2"/>
        </c:scaling>
        <c:delete val="0"/>
        <c:axPos val="l"/>
        <c:majorGridlines/>
        <c:title>
          <c:tx>
            <c:rich>
              <a:bodyPr rot="-5400000" vert="horz"/>
              <a:lstStyle/>
              <a:p>
                <a:pPr>
                  <a:defRPr sz="1100"/>
                </a:pPr>
                <a:r>
                  <a:rPr lang="en-US" sz="1100"/>
                  <a:t>Workability Factor</a:t>
                </a:r>
              </a:p>
            </c:rich>
          </c:tx>
          <c:overlay val="0"/>
        </c:title>
        <c:numFmt formatCode="0.0%" sourceLinked="1"/>
        <c:majorTickMark val="out"/>
        <c:minorTickMark val="none"/>
        <c:tickLblPos val="nextTo"/>
        <c:crossAx val="1199680560"/>
        <c:crosses val="max"/>
        <c:crossBetween val="midCat"/>
      </c:valAx>
      <c:spPr>
        <a:solidFill>
          <a:schemeClr val="lt1"/>
        </a:solidFill>
        <a:ln w="25400" cap="flat" cmpd="sng" algn="ctr">
          <a:solidFill>
            <a:schemeClr val="accent3"/>
          </a:solidFill>
          <a:prstDash val="solid"/>
        </a:ln>
        <a:effectLst/>
      </c:spPr>
    </c:plotArea>
    <c:plotVisOnly val="1"/>
    <c:dispBlanksAs val="gap"/>
    <c:showDLblsOverMax val="0"/>
  </c:chart>
  <c:printSettings>
    <c:headerFooter/>
    <c:pageMargins b="0.75000000000000722" l="0.70000000000000062" r="0.70000000000000062" t="0.75000000000000722"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MIX 14</a:t>
            </a:r>
          </a:p>
        </c:rich>
      </c:tx>
      <c:layout>
        <c:manualLayout>
          <c:xMode val="edge"/>
          <c:yMode val="edge"/>
          <c:x val="0.87277454614078442"/>
          <c:y val="0.13240954580446726"/>
        </c:manualLayout>
      </c:layout>
      <c:overlay val="1"/>
      <c:spPr>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0800000" scaled="1"/>
          <a:tileRect/>
        </a:gradFill>
      </c:spPr>
    </c:title>
    <c:autoTitleDeleted val="0"/>
    <c:plotArea>
      <c:layout>
        <c:manualLayout>
          <c:layoutTarget val="inner"/>
          <c:xMode val="edge"/>
          <c:yMode val="edge"/>
          <c:x val="9.8187935572673621E-2"/>
          <c:y val="2.0849957265734412E-2"/>
          <c:w val="0.75074051661455687"/>
          <c:h val="0.84329678189763213"/>
        </c:manualLayout>
      </c:layout>
      <c:scatterChart>
        <c:scatterStyle val="lineMarker"/>
        <c:varyColors val="0"/>
        <c:ser>
          <c:idx val="0"/>
          <c:order val="0"/>
          <c:spPr>
            <a:ln w="25400" cap="flat" cmpd="sng" algn="ctr">
              <a:solidFill>
                <a:schemeClr val="dk1"/>
              </a:solidFill>
              <a:prstDash val="solid"/>
            </a:ln>
            <a:effectLst/>
          </c:spPr>
          <c:marker>
            <c:symbol val="none"/>
          </c:marker>
          <c:xVal>
            <c:numRef>
              <c:f>Sheet5!$G$47:$G$48</c:f>
              <c:numCache>
                <c:formatCode>0%</c:formatCode>
                <c:ptCount val="2"/>
                <c:pt idx="0">
                  <c:v>0.8</c:v>
                </c:pt>
                <c:pt idx="1">
                  <c:v>0.3</c:v>
                </c:pt>
              </c:numCache>
            </c:numRef>
          </c:xVal>
          <c:yVal>
            <c:numRef>
              <c:f>Sheet5!$H$47:$H$48</c:f>
              <c:numCache>
                <c:formatCode>0%</c:formatCode>
                <c:ptCount val="2"/>
                <c:pt idx="0" formatCode="0.0%">
                  <c:v>0.26500000000000001</c:v>
                </c:pt>
                <c:pt idx="1">
                  <c:v>0.35</c:v>
                </c:pt>
              </c:numCache>
            </c:numRef>
          </c:yVal>
          <c:smooth val="0"/>
          <c:extLst>
            <c:ext xmlns:c16="http://schemas.microsoft.com/office/drawing/2014/chart" uri="{C3380CC4-5D6E-409C-BE32-E72D297353CC}">
              <c16:uniqueId val="{00000000-B7A6-4C37-80D2-DE869696159A}"/>
            </c:ext>
          </c:extLst>
        </c:ser>
        <c:ser>
          <c:idx val="1"/>
          <c:order val="1"/>
          <c:spPr>
            <a:ln w="25400" cap="flat" cmpd="sng" algn="ctr">
              <a:solidFill>
                <a:schemeClr val="dk1"/>
              </a:solidFill>
              <a:prstDash val="solid"/>
            </a:ln>
            <a:effectLst/>
          </c:spPr>
          <c:marker>
            <c:symbol val="none"/>
          </c:marker>
          <c:xVal>
            <c:numRef>
              <c:f>Sheet5!$G$49:$G$50</c:f>
              <c:numCache>
                <c:formatCode>0.00%</c:formatCode>
                <c:ptCount val="2"/>
                <c:pt idx="0" formatCode="0%">
                  <c:v>0.8</c:v>
                </c:pt>
                <c:pt idx="1">
                  <c:v>0.3</c:v>
                </c:pt>
              </c:numCache>
            </c:numRef>
          </c:xVal>
          <c:yVal>
            <c:numRef>
              <c:f>Sheet5!$H$49:$H$50</c:f>
              <c:numCache>
                <c:formatCode>0.00%</c:formatCode>
                <c:ptCount val="2"/>
                <c:pt idx="0" formatCode="0%">
                  <c:v>0.38</c:v>
                </c:pt>
                <c:pt idx="1">
                  <c:v>0.46500000000000002</c:v>
                </c:pt>
              </c:numCache>
            </c:numRef>
          </c:yVal>
          <c:smooth val="0"/>
          <c:extLst>
            <c:ext xmlns:c16="http://schemas.microsoft.com/office/drawing/2014/chart" uri="{C3380CC4-5D6E-409C-BE32-E72D297353CC}">
              <c16:uniqueId val="{00000001-B7A6-4C37-80D2-DE869696159A}"/>
            </c:ext>
          </c:extLst>
        </c:ser>
        <c:ser>
          <c:idx val="2"/>
          <c:order val="2"/>
          <c:spPr>
            <a:ln w="25400" cap="flat" cmpd="sng" algn="ctr">
              <a:solidFill>
                <a:schemeClr val="dk1"/>
              </a:solidFill>
              <a:prstDash val="solid"/>
            </a:ln>
            <a:effectLst/>
          </c:spPr>
          <c:marker>
            <c:symbol val="none"/>
          </c:marker>
          <c:xVal>
            <c:numRef>
              <c:f>Sheet5!$G$51:$G$52</c:f>
              <c:numCache>
                <c:formatCode>0.00%</c:formatCode>
                <c:ptCount val="2"/>
                <c:pt idx="0">
                  <c:v>0.75</c:v>
                </c:pt>
                <c:pt idx="1">
                  <c:v>0.75</c:v>
                </c:pt>
              </c:numCache>
            </c:numRef>
          </c:xVal>
          <c:yVal>
            <c:numRef>
              <c:f>Sheet5!$H$51:$H$52</c:f>
              <c:numCache>
                <c:formatCode>0.00%</c:formatCode>
                <c:ptCount val="2"/>
                <c:pt idx="0">
                  <c:v>0.27350000000000002</c:v>
                </c:pt>
                <c:pt idx="1">
                  <c:v>0.38850000000000001</c:v>
                </c:pt>
              </c:numCache>
            </c:numRef>
          </c:yVal>
          <c:smooth val="0"/>
          <c:extLst>
            <c:ext xmlns:c16="http://schemas.microsoft.com/office/drawing/2014/chart" uri="{C3380CC4-5D6E-409C-BE32-E72D297353CC}">
              <c16:uniqueId val="{00000002-B7A6-4C37-80D2-DE869696159A}"/>
            </c:ext>
          </c:extLst>
        </c:ser>
        <c:ser>
          <c:idx val="3"/>
          <c:order val="3"/>
          <c:spPr>
            <a:ln w="25400" cap="flat" cmpd="sng" algn="ctr">
              <a:solidFill>
                <a:schemeClr val="dk1"/>
              </a:solidFill>
              <a:prstDash val="solid"/>
            </a:ln>
            <a:effectLst/>
          </c:spPr>
          <c:marker>
            <c:symbol val="none"/>
          </c:marker>
          <c:xVal>
            <c:numRef>
              <c:f>Sheet5!$G$53:$G$54</c:f>
              <c:numCache>
                <c:formatCode>0.00%</c:formatCode>
                <c:ptCount val="2"/>
                <c:pt idx="0">
                  <c:v>0.45</c:v>
                </c:pt>
                <c:pt idx="1">
                  <c:v>0.45</c:v>
                </c:pt>
              </c:numCache>
            </c:numRef>
          </c:xVal>
          <c:yVal>
            <c:numRef>
              <c:f>Sheet5!$H$53:$H$54</c:f>
              <c:numCache>
                <c:formatCode>0.00%</c:formatCode>
                <c:ptCount val="2"/>
                <c:pt idx="0">
                  <c:v>0.32450000000000001</c:v>
                </c:pt>
                <c:pt idx="1">
                  <c:v>0.4395</c:v>
                </c:pt>
              </c:numCache>
            </c:numRef>
          </c:yVal>
          <c:smooth val="0"/>
          <c:extLst>
            <c:ext xmlns:c16="http://schemas.microsoft.com/office/drawing/2014/chart" uri="{C3380CC4-5D6E-409C-BE32-E72D297353CC}">
              <c16:uniqueId val="{00000003-B7A6-4C37-80D2-DE869696159A}"/>
            </c:ext>
          </c:extLst>
        </c:ser>
        <c:ser>
          <c:idx val="4"/>
          <c:order val="4"/>
          <c:spPr>
            <a:ln w="25400" cap="flat" cmpd="sng" algn="ctr">
              <a:solidFill>
                <a:schemeClr val="accent6"/>
              </a:solidFill>
              <a:prstDash val="solid"/>
            </a:ln>
            <a:effectLst/>
          </c:spPr>
          <c:marker>
            <c:symbol val="none"/>
          </c:marker>
          <c:xVal>
            <c:numRef>
              <c:f>Sheet5!$B$49:$B$52</c:f>
              <c:numCache>
                <c:formatCode>0%</c:formatCode>
                <c:ptCount val="4"/>
                <c:pt idx="0">
                  <c:v>0.68</c:v>
                </c:pt>
                <c:pt idx="1">
                  <c:v>0.68</c:v>
                </c:pt>
                <c:pt idx="2">
                  <c:v>0.52</c:v>
                </c:pt>
                <c:pt idx="3">
                  <c:v>0.52</c:v>
                </c:pt>
              </c:numCache>
            </c:numRef>
          </c:xVal>
          <c:yVal>
            <c:numRef>
              <c:f>Sheet5!$C$49:$C$52</c:f>
              <c:numCache>
                <c:formatCode>0%</c:formatCode>
                <c:ptCount val="4"/>
                <c:pt idx="0">
                  <c:v>0.32</c:v>
                </c:pt>
                <c:pt idx="1">
                  <c:v>0.36</c:v>
                </c:pt>
                <c:pt idx="2">
                  <c:v>0.38</c:v>
                </c:pt>
                <c:pt idx="3">
                  <c:v>0.34</c:v>
                </c:pt>
              </c:numCache>
            </c:numRef>
          </c:yVal>
          <c:smooth val="0"/>
          <c:extLst>
            <c:ext xmlns:c16="http://schemas.microsoft.com/office/drawing/2014/chart" uri="{C3380CC4-5D6E-409C-BE32-E72D297353CC}">
              <c16:uniqueId val="{00000004-B7A6-4C37-80D2-DE869696159A}"/>
            </c:ext>
          </c:extLst>
        </c:ser>
        <c:ser>
          <c:idx val="5"/>
          <c:order val="5"/>
          <c:spPr>
            <a:ln w="25400" cap="flat" cmpd="sng" algn="ctr">
              <a:solidFill>
                <a:schemeClr val="accent6"/>
              </a:solidFill>
              <a:prstDash val="solid"/>
            </a:ln>
            <a:effectLst/>
          </c:spPr>
          <c:marker>
            <c:symbol val="none"/>
          </c:marker>
          <c:xVal>
            <c:numRef>
              <c:f>Sheet5!$D$49:$D$50</c:f>
              <c:numCache>
                <c:formatCode>0%</c:formatCode>
                <c:ptCount val="2"/>
                <c:pt idx="0">
                  <c:v>0.68</c:v>
                </c:pt>
                <c:pt idx="1">
                  <c:v>0.52</c:v>
                </c:pt>
              </c:numCache>
            </c:numRef>
          </c:xVal>
          <c:yVal>
            <c:numRef>
              <c:f>Sheet5!$E$49:$E$50</c:f>
              <c:numCache>
                <c:formatCode>0%</c:formatCode>
                <c:ptCount val="2"/>
                <c:pt idx="0">
                  <c:v>0.32</c:v>
                </c:pt>
                <c:pt idx="1">
                  <c:v>0.34</c:v>
                </c:pt>
              </c:numCache>
            </c:numRef>
          </c:yVal>
          <c:smooth val="0"/>
          <c:extLst>
            <c:ext xmlns:c16="http://schemas.microsoft.com/office/drawing/2014/chart" uri="{C3380CC4-5D6E-409C-BE32-E72D297353CC}">
              <c16:uniqueId val="{00000005-B7A6-4C37-80D2-DE869696159A}"/>
            </c:ext>
          </c:extLst>
        </c:ser>
        <c:ser>
          <c:idx val="6"/>
          <c:order val="6"/>
          <c:marker>
            <c:spPr>
              <a:solidFill>
                <a:srgbClr val="0070C0"/>
              </a:solidFill>
            </c:spPr>
          </c:marker>
          <c:xVal>
            <c:numRef>
              <c:f>Sheet5!$AG$159</c:f>
              <c:numCache>
                <c:formatCode>0%</c:formatCode>
                <c:ptCount val="1"/>
                <c:pt idx="0">
                  <c:v>0</c:v>
                </c:pt>
              </c:numCache>
            </c:numRef>
          </c:xVal>
          <c:yVal>
            <c:numRef>
              <c:f>Sheet5!$AG$160</c:f>
              <c:numCache>
                <c:formatCode>0%</c:formatCode>
                <c:ptCount val="1"/>
                <c:pt idx="0">
                  <c:v>0</c:v>
                </c:pt>
              </c:numCache>
            </c:numRef>
          </c:yVal>
          <c:smooth val="0"/>
          <c:extLst>
            <c:ext xmlns:c16="http://schemas.microsoft.com/office/drawing/2014/chart" uri="{C3380CC4-5D6E-409C-BE32-E72D297353CC}">
              <c16:uniqueId val="{00000006-B7A6-4C37-80D2-DE869696159A}"/>
            </c:ext>
          </c:extLst>
        </c:ser>
        <c:dLbls>
          <c:showLegendKey val="0"/>
          <c:showVal val="0"/>
          <c:showCatName val="0"/>
          <c:showSerName val="0"/>
          <c:showPercent val="0"/>
          <c:showBubbleSize val="0"/>
        </c:dLbls>
        <c:axId val="1199677840"/>
        <c:axId val="1199674576"/>
      </c:scatterChart>
      <c:valAx>
        <c:axId val="1199677840"/>
        <c:scaling>
          <c:orientation val="maxMin"/>
          <c:max val="0.8"/>
          <c:min val="0.30000000000000032"/>
        </c:scaling>
        <c:delete val="0"/>
        <c:axPos val="b"/>
        <c:title>
          <c:tx>
            <c:rich>
              <a:bodyPr/>
              <a:lstStyle/>
              <a:p>
                <a:pPr>
                  <a:defRPr sz="1100"/>
                </a:pPr>
                <a:r>
                  <a:rPr lang="en-US" sz="1100"/>
                  <a:t>Coarsness Factor</a:t>
                </a:r>
              </a:p>
            </c:rich>
          </c:tx>
          <c:overlay val="0"/>
        </c:title>
        <c:numFmt formatCode="0%" sourceLinked="1"/>
        <c:majorTickMark val="out"/>
        <c:minorTickMark val="none"/>
        <c:tickLblPos val="nextTo"/>
        <c:crossAx val="1199674576"/>
        <c:crosses val="autoZero"/>
        <c:crossBetween val="midCat"/>
      </c:valAx>
      <c:valAx>
        <c:axId val="1199674576"/>
        <c:scaling>
          <c:orientation val="minMax"/>
          <c:max val="0.5"/>
          <c:min val="0.2"/>
        </c:scaling>
        <c:delete val="0"/>
        <c:axPos val="l"/>
        <c:majorGridlines/>
        <c:title>
          <c:tx>
            <c:rich>
              <a:bodyPr rot="-5400000" vert="horz"/>
              <a:lstStyle/>
              <a:p>
                <a:pPr>
                  <a:defRPr sz="1100"/>
                </a:pPr>
                <a:r>
                  <a:rPr lang="en-US" sz="1100"/>
                  <a:t>Workability Factor</a:t>
                </a:r>
              </a:p>
            </c:rich>
          </c:tx>
          <c:overlay val="0"/>
        </c:title>
        <c:numFmt formatCode="0.0%" sourceLinked="1"/>
        <c:majorTickMark val="out"/>
        <c:minorTickMark val="none"/>
        <c:tickLblPos val="nextTo"/>
        <c:crossAx val="1199677840"/>
        <c:crosses val="max"/>
        <c:crossBetween val="midCat"/>
      </c:valAx>
      <c:spPr>
        <a:solidFill>
          <a:schemeClr val="lt1"/>
        </a:solidFill>
        <a:ln w="25400" cap="flat" cmpd="sng" algn="ctr">
          <a:solidFill>
            <a:schemeClr val="accent3"/>
          </a:solidFill>
          <a:prstDash val="solid"/>
        </a:ln>
        <a:effectLst/>
      </c:spPr>
    </c:plotArea>
    <c:plotVisOnly val="1"/>
    <c:dispBlanksAs val="gap"/>
    <c:showDLblsOverMax val="0"/>
  </c:chart>
  <c:printSettings>
    <c:headerFooter/>
    <c:pageMargins b="0.75000000000000722" l="0.70000000000000062" r="0.70000000000000062" t="0.75000000000000722"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MIX 15</a:t>
            </a:r>
          </a:p>
        </c:rich>
      </c:tx>
      <c:layout>
        <c:manualLayout>
          <c:xMode val="edge"/>
          <c:yMode val="edge"/>
          <c:x val="0.87277454614078476"/>
          <c:y val="0.13240954580446732"/>
        </c:manualLayout>
      </c:layout>
      <c:overlay val="1"/>
      <c:spPr>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0800000" scaled="1"/>
          <a:tileRect/>
        </a:gradFill>
      </c:spPr>
    </c:title>
    <c:autoTitleDeleted val="0"/>
    <c:plotArea>
      <c:layout>
        <c:manualLayout>
          <c:layoutTarget val="inner"/>
          <c:xMode val="edge"/>
          <c:yMode val="edge"/>
          <c:x val="9.818793557267369E-2"/>
          <c:y val="2.0849957265734412E-2"/>
          <c:w val="0.75074051661455754"/>
          <c:h val="0.84329678189763169"/>
        </c:manualLayout>
      </c:layout>
      <c:scatterChart>
        <c:scatterStyle val="lineMarker"/>
        <c:varyColors val="0"/>
        <c:ser>
          <c:idx val="0"/>
          <c:order val="0"/>
          <c:spPr>
            <a:ln w="25400" cap="flat" cmpd="sng" algn="ctr">
              <a:solidFill>
                <a:schemeClr val="dk1"/>
              </a:solidFill>
              <a:prstDash val="solid"/>
            </a:ln>
            <a:effectLst/>
          </c:spPr>
          <c:marker>
            <c:symbol val="none"/>
          </c:marker>
          <c:xVal>
            <c:numRef>
              <c:f>Sheet5!$G$47:$G$48</c:f>
              <c:numCache>
                <c:formatCode>0%</c:formatCode>
                <c:ptCount val="2"/>
                <c:pt idx="0">
                  <c:v>0.8</c:v>
                </c:pt>
                <c:pt idx="1">
                  <c:v>0.3</c:v>
                </c:pt>
              </c:numCache>
            </c:numRef>
          </c:xVal>
          <c:yVal>
            <c:numRef>
              <c:f>Sheet5!$H$47:$H$48</c:f>
              <c:numCache>
                <c:formatCode>0%</c:formatCode>
                <c:ptCount val="2"/>
                <c:pt idx="0" formatCode="0.0%">
                  <c:v>0.26500000000000001</c:v>
                </c:pt>
                <c:pt idx="1">
                  <c:v>0.35</c:v>
                </c:pt>
              </c:numCache>
            </c:numRef>
          </c:yVal>
          <c:smooth val="0"/>
          <c:extLst>
            <c:ext xmlns:c16="http://schemas.microsoft.com/office/drawing/2014/chart" uri="{C3380CC4-5D6E-409C-BE32-E72D297353CC}">
              <c16:uniqueId val="{00000000-0130-44A3-988B-2D1AC9B4CA48}"/>
            </c:ext>
          </c:extLst>
        </c:ser>
        <c:ser>
          <c:idx val="1"/>
          <c:order val="1"/>
          <c:spPr>
            <a:ln w="25400" cap="flat" cmpd="sng" algn="ctr">
              <a:solidFill>
                <a:schemeClr val="dk1"/>
              </a:solidFill>
              <a:prstDash val="solid"/>
            </a:ln>
            <a:effectLst/>
          </c:spPr>
          <c:marker>
            <c:symbol val="none"/>
          </c:marker>
          <c:xVal>
            <c:numRef>
              <c:f>Sheet5!$G$49:$G$50</c:f>
              <c:numCache>
                <c:formatCode>0.00%</c:formatCode>
                <c:ptCount val="2"/>
                <c:pt idx="0" formatCode="0%">
                  <c:v>0.8</c:v>
                </c:pt>
                <c:pt idx="1">
                  <c:v>0.3</c:v>
                </c:pt>
              </c:numCache>
            </c:numRef>
          </c:xVal>
          <c:yVal>
            <c:numRef>
              <c:f>Sheet5!$H$49:$H$50</c:f>
              <c:numCache>
                <c:formatCode>0.00%</c:formatCode>
                <c:ptCount val="2"/>
                <c:pt idx="0" formatCode="0%">
                  <c:v>0.38</c:v>
                </c:pt>
                <c:pt idx="1">
                  <c:v>0.46500000000000002</c:v>
                </c:pt>
              </c:numCache>
            </c:numRef>
          </c:yVal>
          <c:smooth val="0"/>
          <c:extLst>
            <c:ext xmlns:c16="http://schemas.microsoft.com/office/drawing/2014/chart" uri="{C3380CC4-5D6E-409C-BE32-E72D297353CC}">
              <c16:uniqueId val="{00000001-0130-44A3-988B-2D1AC9B4CA48}"/>
            </c:ext>
          </c:extLst>
        </c:ser>
        <c:ser>
          <c:idx val="2"/>
          <c:order val="2"/>
          <c:spPr>
            <a:ln w="25400" cap="flat" cmpd="sng" algn="ctr">
              <a:solidFill>
                <a:schemeClr val="dk1"/>
              </a:solidFill>
              <a:prstDash val="solid"/>
            </a:ln>
            <a:effectLst/>
          </c:spPr>
          <c:marker>
            <c:symbol val="none"/>
          </c:marker>
          <c:xVal>
            <c:numRef>
              <c:f>Sheet5!$G$51:$G$52</c:f>
              <c:numCache>
                <c:formatCode>0.00%</c:formatCode>
                <c:ptCount val="2"/>
                <c:pt idx="0">
                  <c:v>0.75</c:v>
                </c:pt>
                <c:pt idx="1">
                  <c:v>0.75</c:v>
                </c:pt>
              </c:numCache>
            </c:numRef>
          </c:xVal>
          <c:yVal>
            <c:numRef>
              <c:f>Sheet5!$H$51:$H$52</c:f>
              <c:numCache>
                <c:formatCode>0.00%</c:formatCode>
                <c:ptCount val="2"/>
                <c:pt idx="0">
                  <c:v>0.27350000000000002</c:v>
                </c:pt>
                <c:pt idx="1">
                  <c:v>0.38850000000000001</c:v>
                </c:pt>
              </c:numCache>
            </c:numRef>
          </c:yVal>
          <c:smooth val="0"/>
          <c:extLst>
            <c:ext xmlns:c16="http://schemas.microsoft.com/office/drawing/2014/chart" uri="{C3380CC4-5D6E-409C-BE32-E72D297353CC}">
              <c16:uniqueId val="{00000002-0130-44A3-988B-2D1AC9B4CA48}"/>
            </c:ext>
          </c:extLst>
        </c:ser>
        <c:ser>
          <c:idx val="3"/>
          <c:order val="3"/>
          <c:spPr>
            <a:ln w="25400" cap="flat" cmpd="sng" algn="ctr">
              <a:solidFill>
                <a:schemeClr val="dk1"/>
              </a:solidFill>
              <a:prstDash val="solid"/>
            </a:ln>
            <a:effectLst/>
          </c:spPr>
          <c:marker>
            <c:symbol val="none"/>
          </c:marker>
          <c:xVal>
            <c:numRef>
              <c:f>Sheet5!$G$53:$G$54</c:f>
              <c:numCache>
                <c:formatCode>0.00%</c:formatCode>
                <c:ptCount val="2"/>
                <c:pt idx="0">
                  <c:v>0.45</c:v>
                </c:pt>
                <c:pt idx="1">
                  <c:v>0.45</c:v>
                </c:pt>
              </c:numCache>
            </c:numRef>
          </c:xVal>
          <c:yVal>
            <c:numRef>
              <c:f>Sheet5!$H$53:$H$54</c:f>
              <c:numCache>
                <c:formatCode>0.00%</c:formatCode>
                <c:ptCount val="2"/>
                <c:pt idx="0">
                  <c:v>0.32450000000000001</c:v>
                </c:pt>
                <c:pt idx="1">
                  <c:v>0.4395</c:v>
                </c:pt>
              </c:numCache>
            </c:numRef>
          </c:yVal>
          <c:smooth val="0"/>
          <c:extLst>
            <c:ext xmlns:c16="http://schemas.microsoft.com/office/drawing/2014/chart" uri="{C3380CC4-5D6E-409C-BE32-E72D297353CC}">
              <c16:uniqueId val="{00000003-0130-44A3-988B-2D1AC9B4CA48}"/>
            </c:ext>
          </c:extLst>
        </c:ser>
        <c:ser>
          <c:idx val="4"/>
          <c:order val="4"/>
          <c:spPr>
            <a:ln w="25400" cap="flat" cmpd="sng" algn="ctr">
              <a:solidFill>
                <a:schemeClr val="accent6"/>
              </a:solidFill>
              <a:prstDash val="solid"/>
            </a:ln>
            <a:effectLst/>
          </c:spPr>
          <c:marker>
            <c:symbol val="none"/>
          </c:marker>
          <c:xVal>
            <c:numRef>
              <c:f>Sheet5!$B$49:$B$52</c:f>
              <c:numCache>
                <c:formatCode>0%</c:formatCode>
                <c:ptCount val="4"/>
                <c:pt idx="0">
                  <c:v>0.68</c:v>
                </c:pt>
                <c:pt idx="1">
                  <c:v>0.68</c:v>
                </c:pt>
                <c:pt idx="2">
                  <c:v>0.52</c:v>
                </c:pt>
                <c:pt idx="3">
                  <c:v>0.52</c:v>
                </c:pt>
              </c:numCache>
            </c:numRef>
          </c:xVal>
          <c:yVal>
            <c:numRef>
              <c:f>Sheet5!$C$49:$C$52</c:f>
              <c:numCache>
                <c:formatCode>0%</c:formatCode>
                <c:ptCount val="4"/>
                <c:pt idx="0">
                  <c:v>0.32</c:v>
                </c:pt>
                <c:pt idx="1">
                  <c:v>0.36</c:v>
                </c:pt>
                <c:pt idx="2">
                  <c:v>0.38</c:v>
                </c:pt>
                <c:pt idx="3">
                  <c:v>0.34</c:v>
                </c:pt>
              </c:numCache>
            </c:numRef>
          </c:yVal>
          <c:smooth val="0"/>
          <c:extLst>
            <c:ext xmlns:c16="http://schemas.microsoft.com/office/drawing/2014/chart" uri="{C3380CC4-5D6E-409C-BE32-E72D297353CC}">
              <c16:uniqueId val="{00000004-0130-44A3-988B-2D1AC9B4CA48}"/>
            </c:ext>
          </c:extLst>
        </c:ser>
        <c:ser>
          <c:idx val="5"/>
          <c:order val="5"/>
          <c:spPr>
            <a:ln w="25400" cap="flat" cmpd="sng" algn="ctr">
              <a:solidFill>
                <a:schemeClr val="accent6"/>
              </a:solidFill>
              <a:prstDash val="solid"/>
            </a:ln>
            <a:effectLst/>
          </c:spPr>
          <c:marker>
            <c:symbol val="none"/>
          </c:marker>
          <c:xVal>
            <c:numRef>
              <c:f>Sheet5!$D$49:$D$50</c:f>
              <c:numCache>
                <c:formatCode>0%</c:formatCode>
                <c:ptCount val="2"/>
                <c:pt idx="0">
                  <c:v>0.68</c:v>
                </c:pt>
                <c:pt idx="1">
                  <c:v>0.52</c:v>
                </c:pt>
              </c:numCache>
            </c:numRef>
          </c:xVal>
          <c:yVal>
            <c:numRef>
              <c:f>Sheet5!$E$49:$E$50</c:f>
              <c:numCache>
                <c:formatCode>0%</c:formatCode>
                <c:ptCount val="2"/>
                <c:pt idx="0">
                  <c:v>0.32</c:v>
                </c:pt>
                <c:pt idx="1">
                  <c:v>0.34</c:v>
                </c:pt>
              </c:numCache>
            </c:numRef>
          </c:yVal>
          <c:smooth val="0"/>
          <c:extLst>
            <c:ext xmlns:c16="http://schemas.microsoft.com/office/drawing/2014/chart" uri="{C3380CC4-5D6E-409C-BE32-E72D297353CC}">
              <c16:uniqueId val="{00000005-0130-44A3-988B-2D1AC9B4CA48}"/>
            </c:ext>
          </c:extLst>
        </c:ser>
        <c:ser>
          <c:idx val="6"/>
          <c:order val="6"/>
          <c:marker>
            <c:spPr>
              <a:solidFill>
                <a:srgbClr val="0070C0"/>
              </a:solidFill>
            </c:spPr>
          </c:marker>
          <c:xVal>
            <c:numRef>
              <c:f>Sheet5!$AG$187</c:f>
              <c:numCache>
                <c:formatCode>0%</c:formatCode>
                <c:ptCount val="1"/>
                <c:pt idx="0">
                  <c:v>0</c:v>
                </c:pt>
              </c:numCache>
            </c:numRef>
          </c:xVal>
          <c:yVal>
            <c:numRef>
              <c:f>Sheet5!$AG$188</c:f>
              <c:numCache>
                <c:formatCode>0%</c:formatCode>
                <c:ptCount val="1"/>
                <c:pt idx="0">
                  <c:v>0</c:v>
                </c:pt>
              </c:numCache>
            </c:numRef>
          </c:yVal>
          <c:smooth val="0"/>
          <c:extLst>
            <c:ext xmlns:c16="http://schemas.microsoft.com/office/drawing/2014/chart" uri="{C3380CC4-5D6E-409C-BE32-E72D297353CC}">
              <c16:uniqueId val="{00000006-0130-44A3-988B-2D1AC9B4CA48}"/>
            </c:ext>
          </c:extLst>
        </c:ser>
        <c:dLbls>
          <c:showLegendKey val="0"/>
          <c:showVal val="0"/>
          <c:showCatName val="0"/>
          <c:showSerName val="0"/>
          <c:showPercent val="0"/>
          <c:showBubbleSize val="0"/>
        </c:dLbls>
        <c:axId val="1199668592"/>
        <c:axId val="1199670224"/>
      </c:scatterChart>
      <c:valAx>
        <c:axId val="1199668592"/>
        <c:scaling>
          <c:orientation val="maxMin"/>
          <c:max val="0.8"/>
          <c:min val="0.30000000000000032"/>
        </c:scaling>
        <c:delete val="0"/>
        <c:axPos val="b"/>
        <c:title>
          <c:tx>
            <c:rich>
              <a:bodyPr/>
              <a:lstStyle/>
              <a:p>
                <a:pPr>
                  <a:defRPr sz="1100"/>
                </a:pPr>
                <a:r>
                  <a:rPr lang="en-US" sz="1100"/>
                  <a:t>Coarsness Factor</a:t>
                </a:r>
              </a:p>
            </c:rich>
          </c:tx>
          <c:overlay val="0"/>
        </c:title>
        <c:numFmt formatCode="0%" sourceLinked="1"/>
        <c:majorTickMark val="out"/>
        <c:minorTickMark val="none"/>
        <c:tickLblPos val="nextTo"/>
        <c:crossAx val="1199670224"/>
        <c:crosses val="autoZero"/>
        <c:crossBetween val="midCat"/>
      </c:valAx>
      <c:valAx>
        <c:axId val="1199670224"/>
        <c:scaling>
          <c:orientation val="minMax"/>
          <c:max val="0.5"/>
          <c:min val="0.2"/>
        </c:scaling>
        <c:delete val="0"/>
        <c:axPos val="l"/>
        <c:majorGridlines/>
        <c:title>
          <c:tx>
            <c:rich>
              <a:bodyPr rot="-5400000" vert="horz"/>
              <a:lstStyle/>
              <a:p>
                <a:pPr>
                  <a:defRPr sz="1100"/>
                </a:pPr>
                <a:r>
                  <a:rPr lang="en-US" sz="1100"/>
                  <a:t>Workability Factor</a:t>
                </a:r>
              </a:p>
            </c:rich>
          </c:tx>
          <c:overlay val="0"/>
        </c:title>
        <c:numFmt formatCode="0.0%" sourceLinked="1"/>
        <c:majorTickMark val="out"/>
        <c:minorTickMark val="none"/>
        <c:tickLblPos val="nextTo"/>
        <c:crossAx val="1199668592"/>
        <c:crosses val="max"/>
        <c:crossBetween val="midCat"/>
      </c:valAx>
      <c:spPr>
        <a:solidFill>
          <a:schemeClr val="lt1"/>
        </a:solidFill>
        <a:ln w="25400" cap="flat" cmpd="sng" algn="ctr">
          <a:solidFill>
            <a:schemeClr val="accent3"/>
          </a:solidFill>
          <a:prstDash val="solid"/>
        </a:ln>
        <a:effectLst/>
      </c:spPr>
    </c:plotArea>
    <c:plotVisOnly val="1"/>
    <c:dispBlanksAs val="gap"/>
    <c:showDLblsOverMax val="0"/>
  </c:chart>
  <c:printSettings>
    <c:headerFooter/>
    <c:pageMargins b="0.75000000000000744" l="0.70000000000000062" r="0.70000000000000062" t="0.75000000000000744"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MIX 7</a:t>
            </a:r>
          </a:p>
        </c:rich>
      </c:tx>
      <c:layout>
        <c:manualLayout>
          <c:xMode val="edge"/>
          <c:yMode val="edge"/>
          <c:x val="0.87277454614078476"/>
          <c:y val="0.13240954580446732"/>
        </c:manualLayout>
      </c:layout>
      <c:overlay val="1"/>
      <c:spPr>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0800000" scaled="1"/>
          <a:tileRect/>
        </a:gradFill>
      </c:spPr>
    </c:title>
    <c:autoTitleDeleted val="0"/>
    <c:plotArea>
      <c:layout>
        <c:manualLayout>
          <c:layoutTarget val="inner"/>
          <c:xMode val="edge"/>
          <c:yMode val="edge"/>
          <c:x val="9.818793557267369E-2"/>
          <c:y val="2.0849957265734412E-2"/>
          <c:w val="0.75074051661455754"/>
          <c:h val="0.84329678189763169"/>
        </c:manualLayout>
      </c:layout>
      <c:scatterChart>
        <c:scatterStyle val="lineMarker"/>
        <c:varyColors val="0"/>
        <c:ser>
          <c:idx val="0"/>
          <c:order val="0"/>
          <c:spPr>
            <a:ln w="25400" cap="flat" cmpd="sng" algn="ctr">
              <a:solidFill>
                <a:schemeClr val="dk1"/>
              </a:solidFill>
              <a:prstDash val="solid"/>
            </a:ln>
            <a:effectLst/>
          </c:spPr>
          <c:marker>
            <c:symbol val="none"/>
          </c:marker>
          <c:xVal>
            <c:numRef>
              <c:f>Sheet5!$G$47:$G$48</c:f>
              <c:numCache>
                <c:formatCode>0%</c:formatCode>
                <c:ptCount val="2"/>
                <c:pt idx="0">
                  <c:v>0.8</c:v>
                </c:pt>
                <c:pt idx="1">
                  <c:v>0.3</c:v>
                </c:pt>
              </c:numCache>
            </c:numRef>
          </c:xVal>
          <c:yVal>
            <c:numRef>
              <c:f>Sheet5!$H$47:$H$48</c:f>
              <c:numCache>
                <c:formatCode>0%</c:formatCode>
                <c:ptCount val="2"/>
                <c:pt idx="0" formatCode="0.0%">
                  <c:v>0.26500000000000001</c:v>
                </c:pt>
                <c:pt idx="1">
                  <c:v>0.35</c:v>
                </c:pt>
              </c:numCache>
            </c:numRef>
          </c:yVal>
          <c:smooth val="0"/>
          <c:extLst>
            <c:ext xmlns:c16="http://schemas.microsoft.com/office/drawing/2014/chart" uri="{C3380CC4-5D6E-409C-BE32-E72D297353CC}">
              <c16:uniqueId val="{00000000-95EA-4A4C-BB6E-4CE6DB054B18}"/>
            </c:ext>
          </c:extLst>
        </c:ser>
        <c:ser>
          <c:idx val="1"/>
          <c:order val="1"/>
          <c:spPr>
            <a:ln w="25400" cap="flat" cmpd="sng" algn="ctr">
              <a:solidFill>
                <a:schemeClr val="dk1"/>
              </a:solidFill>
              <a:prstDash val="solid"/>
            </a:ln>
            <a:effectLst/>
          </c:spPr>
          <c:marker>
            <c:symbol val="none"/>
          </c:marker>
          <c:xVal>
            <c:numRef>
              <c:f>Sheet5!$G$49:$G$50</c:f>
              <c:numCache>
                <c:formatCode>0.00%</c:formatCode>
                <c:ptCount val="2"/>
                <c:pt idx="0" formatCode="0%">
                  <c:v>0.8</c:v>
                </c:pt>
                <c:pt idx="1">
                  <c:v>0.3</c:v>
                </c:pt>
              </c:numCache>
            </c:numRef>
          </c:xVal>
          <c:yVal>
            <c:numRef>
              <c:f>Sheet5!$H$49:$H$50</c:f>
              <c:numCache>
                <c:formatCode>0.00%</c:formatCode>
                <c:ptCount val="2"/>
                <c:pt idx="0" formatCode="0%">
                  <c:v>0.38</c:v>
                </c:pt>
                <c:pt idx="1">
                  <c:v>0.46500000000000002</c:v>
                </c:pt>
              </c:numCache>
            </c:numRef>
          </c:yVal>
          <c:smooth val="0"/>
          <c:extLst>
            <c:ext xmlns:c16="http://schemas.microsoft.com/office/drawing/2014/chart" uri="{C3380CC4-5D6E-409C-BE32-E72D297353CC}">
              <c16:uniqueId val="{00000001-95EA-4A4C-BB6E-4CE6DB054B18}"/>
            </c:ext>
          </c:extLst>
        </c:ser>
        <c:ser>
          <c:idx val="2"/>
          <c:order val="2"/>
          <c:spPr>
            <a:ln w="25400" cap="flat" cmpd="sng" algn="ctr">
              <a:solidFill>
                <a:schemeClr val="dk1"/>
              </a:solidFill>
              <a:prstDash val="solid"/>
            </a:ln>
            <a:effectLst/>
          </c:spPr>
          <c:marker>
            <c:symbol val="none"/>
          </c:marker>
          <c:xVal>
            <c:numRef>
              <c:f>Sheet5!$G$51:$G$52</c:f>
              <c:numCache>
                <c:formatCode>0.00%</c:formatCode>
                <c:ptCount val="2"/>
                <c:pt idx="0">
                  <c:v>0.75</c:v>
                </c:pt>
                <c:pt idx="1">
                  <c:v>0.75</c:v>
                </c:pt>
              </c:numCache>
            </c:numRef>
          </c:xVal>
          <c:yVal>
            <c:numRef>
              <c:f>Sheet5!$H$51:$H$52</c:f>
              <c:numCache>
                <c:formatCode>0.00%</c:formatCode>
                <c:ptCount val="2"/>
                <c:pt idx="0">
                  <c:v>0.27350000000000002</c:v>
                </c:pt>
                <c:pt idx="1">
                  <c:v>0.38850000000000001</c:v>
                </c:pt>
              </c:numCache>
            </c:numRef>
          </c:yVal>
          <c:smooth val="0"/>
          <c:extLst>
            <c:ext xmlns:c16="http://schemas.microsoft.com/office/drawing/2014/chart" uri="{C3380CC4-5D6E-409C-BE32-E72D297353CC}">
              <c16:uniqueId val="{00000002-95EA-4A4C-BB6E-4CE6DB054B18}"/>
            </c:ext>
          </c:extLst>
        </c:ser>
        <c:ser>
          <c:idx val="3"/>
          <c:order val="3"/>
          <c:spPr>
            <a:ln w="25400" cap="flat" cmpd="sng" algn="ctr">
              <a:solidFill>
                <a:schemeClr val="dk1"/>
              </a:solidFill>
              <a:prstDash val="solid"/>
            </a:ln>
            <a:effectLst/>
          </c:spPr>
          <c:marker>
            <c:symbol val="none"/>
          </c:marker>
          <c:xVal>
            <c:numRef>
              <c:f>Sheet5!$G$53:$G$54</c:f>
              <c:numCache>
                <c:formatCode>0.00%</c:formatCode>
                <c:ptCount val="2"/>
                <c:pt idx="0">
                  <c:v>0.45</c:v>
                </c:pt>
                <c:pt idx="1">
                  <c:v>0.45</c:v>
                </c:pt>
              </c:numCache>
            </c:numRef>
          </c:xVal>
          <c:yVal>
            <c:numRef>
              <c:f>Sheet5!$H$53:$H$54</c:f>
              <c:numCache>
                <c:formatCode>0.00%</c:formatCode>
                <c:ptCount val="2"/>
                <c:pt idx="0">
                  <c:v>0.32450000000000001</c:v>
                </c:pt>
                <c:pt idx="1">
                  <c:v>0.4395</c:v>
                </c:pt>
              </c:numCache>
            </c:numRef>
          </c:yVal>
          <c:smooth val="0"/>
          <c:extLst>
            <c:ext xmlns:c16="http://schemas.microsoft.com/office/drawing/2014/chart" uri="{C3380CC4-5D6E-409C-BE32-E72D297353CC}">
              <c16:uniqueId val="{00000003-95EA-4A4C-BB6E-4CE6DB054B18}"/>
            </c:ext>
          </c:extLst>
        </c:ser>
        <c:ser>
          <c:idx val="4"/>
          <c:order val="4"/>
          <c:spPr>
            <a:ln w="25400" cap="flat" cmpd="sng" algn="ctr">
              <a:solidFill>
                <a:schemeClr val="accent6"/>
              </a:solidFill>
              <a:prstDash val="solid"/>
            </a:ln>
            <a:effectLst/>
          </c:spPr>
          <c:marker>
            <c:symbol val="none"/>
          </c:marker>
          <c:xVal>
            <c:numRef>
              <c:f>Sheet5!$B$49:$B$52</c:f>
              <c:numCache>
                <c:formatCode>0%</c:formatCode>
                <c:ptCount val="4"/>
                <c:pt idx="0">
                  <c:v>0.68</c:v>
                </c:pt>
                <c:pt idx="1">
                  <c:v>0.68</c:v>
                </c:pt>
                <c:pt idx="2">
                  <c:v>0.52</c:v>
                </c:pt>
                <c:pt idx="3">
                  <c:v>0.52</c:v>
                </c:pt>
              </c:numCache>
            </c:numRef>
          </c:xVal>
          <c:yVal>
            <c:numRef>
              <c:f>Sheet5!$C$49:$C$52</c:f>
              <c:numCache>
                <c:formatCode>0%</c:formatCode>
                <c:ptCount val="4"/>
                <c:pt idx="0">
                  <c:v>0.32</c:v>
                </c:pt>
                <c:pt idx="1">
                  <c:v>0.36</c:v>
                </c:pt>
                <c:pt idx="2">
                  <c:v>0.38</c:v>
                </c:pt>
                <c:pt idx="3">
                  <c:v>0.34</c:v>
                </c:pt>
              </c:numCache>
            </c:numRef>
          </c:yVal>
          <c:smooth val="0"/>
          <c:extLst>
            <c:ext xmlns:c16="http://schemas.microsoft.com/office/drawing/2014/chart" uri="{C3380CC4-5D6E-409C-BE32-E72D297353CC}">
              <c16:uniqueId val="{00000004-95EA-4A4C-BB6E-4CE6DB054B18}"/>
            </c:ext>
          </c:extLst>
        </c:ser>
        <c:ser>
          <c:idx val="5"/>
          <c:order val="5"/>
          <c:spPr>
            <a:ln w="25400" cap="flat" cmpd="sng" algn="ctr">
              <a:solidFill>
                <a:schemeClr val="accent6"/>
              </a:solidFill>
              <a:prstDash val="solid"/>
            </a:ln>
            <a:effectLst/>
          </c:spPr>
          <c:marker>
            <c:symbol val="none"/>
          </c:marker>
          <c:xVal>
            <c:numRef>
              <c:f>Sheet5!$D$49:$D$50</c:f>
              <c:numCache>
                <c:formatCode>0%</c:formatCode>
                <c:ptCount val="2"/>
                <c:pt idx="0">
                  <c:v>0.68</c:v>
                </c:pt>
                <c:pt idx="1">
                  <c:v>0.52</c:v>
                </c:pt>
              </c:numCache>
            </c:numRef>
          </c:xVal>
          <c:yVal>
            <c:numRef>
              <c:f>Sheet5!$E$49:$E$50</c:f>
              <c:numCache>
                <c:formatCode>0%</c:formatCode>
                <c:ptCount val="2"/>
                <c:pt idx="0">
                  <c:v>0.32</c:v>
                </c:pt>
                <c:pt idx="1">
                  <c:v>0.34</c:v>
                </c:pt>
              </c:numCache>
            </c:numRef>
          </c:yVal>
          <c:smooth val="0"/>
          <c:extLst>
            <c:ext xmlns:c16="http://schemas.microsoft.com/office/drawing/2014/chart" uri="{C3380CC4-5D6E-409C-BE32-E72D297353CC}">
              <c16:uniqueId val="{00000005-95EA-4A4C-BB6E-4CE6DB054B18}"/>
            </c:ext>
          </c:extLst>
        </c:ser>
        <c:ser>
          <c:idx val="6"/>
          <c:order val="6"/>
          <c:spPr>
            <a:ln w="19050">
              <a:solidFill>
                <a:schemeClr val="tx1"/>
              </a:solidFill>
            </a:ln>
            <a:effectLst>
              <a:outerShdw blurRad="40000" dist="23000" dir="5400000" rotWithShape="0">
                <a:srgbClr val="000000">
                  <a:alpha val="35000"/>
                </a:srgbClr>
              </a:outerShdw>
            </a:effectLst>
          </c:spPr>
          <c:marker>
            <c:spPr>
              <a:solidFill>
                <a:srgbClr val="0070C0"/>
              </a:solidFill>
              <a:ln w="19050">
                <a:solidFill>
                  <a:schemeClr val="tx1"/>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Sheet5!$AG$103</c:f>
              <c:numCache>
                <c:formatCode>0%</c:formatCode>
                <c:ptCount val="1"/>
                <c:pt idx="0">
                  <c:v>0</c:v>
                </c:pt>
              </c:numCache>
            </c:numRef>
          </c:xVal>
          <c:yVal>
            <c:numRef>
              <c:f>Sheet5!$AG$104</c:f>
              <c:numCache>
                <c:formatCode>0%</c:formatCode>
                <c:ptCount val="1"/>
                <c:pt idx="0">
                  <c:v>0</c:v>
                </c:pt>
              </c:numCache>
            </c:numRef>
          </c:yVal>
          <c:smooth val="0"/>
          <c:extLst>
            <c:ext xmlns:c16="http://schemas.microsoft.com/office/drawing/2014/chart" uri="{C3380CC4-5D6E-409C-BE32-E72D297353CC}">
              <c16:uniqueId val="{00000006-95EA-4A4C-BB6E-4CE6DB054B18}"/>
            </c:ext>
          </c:extLst>
        </c:ser>
        <c:dLbls>
          <c:showLegendKey val="0"/>
          <c:showVal val="0"/>
          <c:showCatName val="0"/>
          <c:showSerName val="0"/>
          <c:showPercent val="0"/>
          <c:showBubbleSize val="0"/>
        </c:dLbls>
        <c:axId val="1199671312"/>
        <c:axId val="1203071952"/>
      </c:scatterChart>
      <c:valAx>
        <c:axId val="1199671312"/>
        <c:scaling>
          <c:orientation val="maxMin"/>
          <c:max val="0.8"/>
          <c:min val="0.30000000000000032"/>
        </c:scaling>
        <c:delete val="0"/>
        <c:axPos val="b"/>
        <c:title>
          <c:tx>
            <c:rich>
              <a:bodyPr/>
              <a:lstStyle/>
              <a:p>
                <a:pPr>
                  <a:defRPr sz="1100"/>
                </a:pPr>
                <a:r>
                  <a:rPr lang="en-US" sz="1100"/>
                  <a:t>Coarsness Factor</a:t>
                </a:r>
              </a:p>
            </c:rich>
          </c:tx>
          <c:overlay val="0"/>
        </c:title>
        <c:numFmt formatCode="0%" sourceLinked="1"/>
        <c:majorTickMark val="out"/>
        <c:minorTickMark val="none"/>
        <c:tickLblPos val="nextTo"/>
        <c:crossAx val="1203071952"/>
        <c:crosses val="autoZero"/>
        <c:crossBetween val="midCat"/>
      </c:valAx>
      <c:valAx>
        <c:axId val="1203071952"/>
        <c:scaling>
          <c:orientation val="minMax"/>
          <c:max val="0.5"/>
          <c:min val="0.2"/>
        </c:scaling>
        <c:delete val="0"/>
        <c:axPos val="l"/>
        <c:majorGridlines/>
        <c:title>
          <c:tx>
            <c:rich>
              <a:bodyPr rot="-5400000" vert="horz"/>
              <a:lstStyle/>
              <a:p>
                <a:pPr>
                  <a:defRPr sz="1100"/>
                </a:pPr>
                <a:r>
                  <a:rPr lang="en-US" sz="1100"/>
                  <a:t>Workability Factor</a:t>
                </a:r>
              </a:p>
            </c:rich>
          </c:tx>
          <c:overlay val="0"/>
        </c:title>
        <c:numFmt formatCode="0.0%" sourceLinked="1"/>
        <c:majorTickMark val="out"/>
        <c:minorTickMark val="none"/>
        <c:tickLblPos val="nextTo"/>
        <c:crossAx val="1199671312"/>
        <c:crosses val="max"/>
        <c:crossBetween val="midCat"/>
      </c:valAx>
      <c:spPr>
        <a:solidFill>
          <a:schemeClr val="lt1"/>
        </a:solidFill>
        <a:ln w="25400" cap="flat" cmpd="sng" algn="ctr">
          <a:solidFill>
            <a:schemeClr val="accent3"/>
          </a:solidFill>
          <a:prstDash val="solid"/>
        </a:ln>
        <a:effectLst/>
      </c:spPr>
    </c:plotArea>
    <c:plotVisOnly val="1"/>
    <c:dispBlanksAs val="gap"/>
    <c:showDLblsOverMax val="0"/>
  </c:chart>
  <c:printSettings>
    <c:headerFooter/>
    <c:pageMargins b="0.75000000000000744" l="0.70000000000000062" r="0.70000000000000062" t="0.75000000000000744"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MIX 17</a:t>
            </a:r>
          </a:p>
        </c:rich>
      </c:tx>
      <c:layout>
        <c:manualLayout>
          <c:xMode val="edge"/>
          <c:yMode val="edge"/>
          <c:x val="0.8727745461407852"/>
          <c:y val="0.13240954580446743"/>
        </c:manualLayout>
      </c:layout>
      <c:overlay val="1"/>
      <c:spPr>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0800000" scaled="1"/>
          <a:tileRect/>
        </a:gradFill>
      </c:spPr>
    </c:title>
    <c:autoTitleDeleted val="0"/>
    <c:plotArea>
      <c:layout>
        <c:manualLayout>
          <c:layoutTarget val="inner"/>
          <c:xMode val="edge"/>
          <c:yMode val="edge"/>
          <c:x val="9.8187935572673746E-2"/>
          <c:y val="2.0849957265734412E-2"/>
          <c:w val="0.75074051661455821"/>
          <c:h val="0.84329678189763135"/>
        </c:manualLayout>
      </c:layout>
      <c:scatterChart>
        <c:scatterStyle val="lineMarker"/>
        <c:varyColors val="0"/>
        <c:ser>
          <c:idx val="0"/>
          <c:order val="0"/>
          <c:spPr>
            <a:ln w="25400" cap="flat" cmpd="sng" algn="ctr">
              <a:solidFill>
                <a:schemeClr val="dk1"/>
              </a:solidFill>
              <a:prstDash val="solid"/>
            </a:ln>
            <a:effectLst/>
          </c:spPr>
          <c:marker>
            <c:symbol val="none"/>
          </c:marker>
          <c:xVal>
            <c:numRef>
              <c:f>Sheet5!$G$47:$G$48</c:f>
              <c:numCache>
                <c:formatCode>0%</c:formatCode>
                <c:ptCount val="2"/>
                <c:pt idx="0">
                  <c:v>0.8</c:v>
                </c:pt>
                <c:pt idx="1">
                  <c:v>0.3</c:v>
                </c:pt>
              </c:numCache>
            </c:numRef>
          </c:xVal>
          <c:yVal>
            <c:numRef>
              <c:f>Sheet5!$H$47:$H$48</c:f>
              <c:numCache>
                <c:formatCode>0%</c:formatCode>
                <c:ptCount val="2"/>
                <c:pt idx="0" formatCode="0.0%">
                  <c:v>0.26500000000000001</c:v>
                </c:pt>
                <c:pt idx="1">
                  <c:v>0.35</c:v>
                </c:pt>
              </c:numCache>
            </c:numRef>
          </c:yVal>
          <c:smooth val="0"/>
          <c:extLst>
            <c:ext xmlns:c16="http://schemas.microsoft.com/office/drawing/2014/chart" uri="{C3380CC4-5D6E-409C-BE32-E72D297353CC}">
              <c16:uniqueId val="{00000000-C6E3-497A-A5C5-4CE74CCA24B4}"/>
            </c:ext>
          </c:extLst>
        </c:ser>
        <c:ser>
          <c:idx val="1"/>
          <c:order val="1"/>
          <c:spPr>
            <a:ln w="25400" cap="flat" cmpd="sng" algn="ctr">
              <a:solidFill>
                <a:schemeClr val="dk1"/>
              </a:solidFill>
              <a:prstDash val="solid"/>
            </a:ln>
            <a:effectLst/>
          </c:spPr>
          <c:marker>
            <c:symbol val="none"/>
          </c:marker>
          <c:xVal>
            <c:numRef>
              <c:f>Sheet5!$G$49:$G$50</c:f>
              <c:numCache>
                <c:formatCode>0.00%</c:formatCode>
                <c:ptCount val="2"/>
                <c:pt idx="0" formatCode="0%">
                  <c:v>0.8</c:v>
                </c:pt>
                <c:pt idx="1">
                  <c:v>0.3</c:v>
                </c:pt>
              </c:numCache>
            </c:numRef>
          </c:xVal>
          <c:yVal>
            <c:numRef>
              <c:f>Sheet5!$H$49:$H$50</c:f>
              <c:numCache>
                <c:formatCode>0.00%</c:formatCode>
                <c:ptCount val="2"/>
                <c:pt idx="0" formatCode="0%">
                  <c:v>0.38</c:v>
                </c:pt>
                <c:pt idx="1">
                  <c:v>0.46500000000000002</c:v>
                </c:pt>
              </c:numCache>
            </c:numRef>
          </c:yVal>
          <c:smooth val="0"/>
          <c:extLst>
            <c:ext xmlns:c16="http://schemas.microsoft.com/office/drawing/2014/chart" uri="{C3380CC4-5D6E-409C-BE32-E72D297353CC}">
              <c16:uniqueId val="{00000001-C6E3-497A-A5C5-4CE74CCA24B4}"/>
            </c:ext>
          </c:extLst>
        </c:ser>
        <c:ser>
          <c:idx val="2"/>
          <c:order val="2"/>
          <c:spPr>
            <a:ln w="25400" cap="flat" cmpd="sng" algn="ctr">
              <a:solidFill>
                <a:schemeClr val="dk1"/>
              </a:solidFill>
              <a:prstDash val="solid"/>
            </a:ln>
            <a:effectLst/>
          </c:spPr>
          <c:marker>
            <c:symbol val="none"/>
          </c:marker>
          <c:xVal>
            <c:numRef>
              <c:f>Sheet5!$G$51:$G$52</c:f>
              <c:numCache>
                <c:formatCode>0.00%</c:formatCode>
                <c:ptCount val="2"/>
                <c:pt idx="0">
                  <c:v>0.75</c:v>
                </c:pt>
                <c:pt idx="1">
                  <c:v>0.75</c:v>
                </c:pt>
              </c:numCache>
            </c:numRef>
          </c:xVal>
          <c:yVal>
            <c:numRef>
              <c:f>Sheet5!$H$51:$H$52</c:f>
              <c:numCache>
                <c:formatCode>0.00%</c:formatCode>
                <c:ptCount val="2"/>
                <c:pt idx="0">
                  <c:v>0.27350000000000002</c:v>
                </c:pt>
                <c:pt idx="1">
                  <c:v>0.38850000000000001</c:v>
                </c:pt>
              </c:numCache>
            </c:numRef>
          </c:yVal>
          <c:smooth val="0"/>
          <c:extLst>
            <c:ext xmlns:c16="http://schemas.microsoft.com/office/drawing/2014/chart" uri="{C3380CC4-5D6E-409C-BE32-E72D297353CC}">
              <c16:uniqueId val="{00000002-C6E3-497A-A5C5-4CE74CCA24B4}"/>
            </c:ext>
          </c:extLst>
        </c:ser>
        <c:ser>
          <c:idx val="3"/>
          <c:order val="3"/>
          <c:spPr>
            <a:ln w="25400" cap="flat" cmpd="sng" algn="ctr">
              <a:solidFill>
                <a:schemeClr val="dk1"/>
              </a:solidFill>
              <a:prstDash val="solid"/>
            </a:ln>
            <a:effectLst/>
          </c:spPr>
          <c:marker>
            <c:symbol val="none"/>
          </c:marker>
          <c:xVal>
            <c:numRef>
              <c:f>Sheet5!$G$53:$G$54</c:f>
              <c:numCache>
                <c:formatCode>0.00%</c:formatCode>
                <c:ptCount val="2"/>
                <c:pt idx="0">
                  <c:v>0.45</c:v>
                </c:pt>
                <c:pt idx="1">
                  <c:v>0.45</c:v>
                </c:pt>
              </c:numCache>
            </c:numRef>
          </c:xVal>
          <c:yVal>
            <c:numRef>
              <c:f>Sheet5!$H$53:$H$54</c:f>
              <c:numCache>
                <c:formatCode>0.00%</c:formatCode>
                <c:ptCount val="2"/>
                <c:pt idx="0">
                  <c:v>0.32450000000000001</c:v>
                </c:pt>
                <c:pt idx="1">
                  <c:v>0.4395</c:v>
                </c:pt>
              </c:numCache>
            </c:numRef>
          </c:yVal>
          <c:smooth val="0"/>
          <c:extLst>
            <c:ext xmlns:c16="http://schemas.microsoft.com/office/drawing/2014/chart" uri="{C3380CC4-5D6E-409C-BE32-E72D297353CC}">
              <c16:uniqueId val="{00000003-C6E3-497A-A5C5-4CE74CCA24B4}"/>
            </c:ext>
          </c:extLst>
        </c:ser>
        <c:ser>
          <c:idx val="4"/>
          <c:order val="4"/>
          <c:spPr>
            <a:ln w="25400" cap="flat" cmpd="sng" algn="ctr">
              <a:solidFill>
                <a:schemeClr val="accent6"/>
              </a:solidFill>
              <a:prstDash val="solid"/>
            </a:ln>
            <a:effectLst/>
          </c:spPr>
          <c:marker>
            <c:symbol val="none"/>
          </c:marker>
          <c:xVal>
            <c:numRef>
              <c:f>Sheet5!$B$49:$B$52</c:f>
              <c:numCache>
                <c:formatCode>0%</c:formatCode>
                <c:ptCount val="4"/>
                <c:pt idx="0">
                  <c:v>0.68</c:v>
                </c:pt>
                <c:pt idx="1">
                  <c:v>0.68</c:v>
                </c:pt>
                <c:pt idx="2">
                  <c:v>0.52</c:v>
                </c:pt>
                <c:pt idx="3">
                  <c:v>0.52</c:v>
                </c:pt>
              </c:numCache>
            </c:numRef>
          </c:xVal>
          <c:yVal>
            <c:numRef>
              <c:f>Sheet5!$C$49:$C$52</c:f>
              <c:numCache>
                <c:formatCode>0%</c:formatCode>
                <c:ptCount val="4"/>
                <c:pt idx="0">
                  <c:v>0.32</c:v>
                </c:pt>
                <c:pt idx="1">
                  <c:v>0.36</c:v>
                </c:pt>
                <c:pt idx="2">
                  <c:v>0.38</c:v>
                </c:pt>
                <c:pt idx="3">
                  <c:v>0.34</c:v>
                </c:pt>
              </c:numCache>
            </c:numRef>
          </c:yVal>
          <c:smooth val="0"/>
          <c:extLst>
            <c:ext xmlns:c16="http://schemas.microsoft.com/office/drawing/2014/chart" uri="{C3380CC4-5D6E-409C-BE32-E72D297353CC}">
              <c16:uniqueId val="{00000004-C6E3-497A-A5C5-4CE74CCA24B4}"/>
            </c:ext>
          </c:extLst>
        </c:ser>
        <c:ser>
          <c:idx val="5"/>
          <c:order val="5"/>
          <c:spPr>
            <a:ln w="25400" cap="flat" cmpd="sng" algn="ctr">
              <a:solidFill>
                <a:schemeClr val="accent6"/>
              </a:solidFill>
              <a:prstDash val="solid"/>
            </a:ln>
            <a:effectLst/>
          </c:spPr>
          <c:marker>
            <c:symbol val="none"/>
          </c:marker>
          <c:xVal>
            <c:numRef>
              <c:f>Sheet5!$D$49:$D$50</c:f>
              <c:numCache>
                <c:formatCode>0%</c:formatCode>
                <c:ptCount val="2"/>
                <c:pt idx="0">
                  <c:v>0.68</c:v>
                </c:pt>
                <c:pt idx="1">
                  <c:v>0.52</c:v>
                </c:pt>
              </c:numCache>
            </c:numRef>
          </c:xVal>
          <c:yVal>
            <c:numRef>
              <c:f>Sheet5!$E$49:$E$50</c:f>
              <c:numCache>
                <c:formatCode>0%</c:formatCode>
                <c:ptCount val="2"/>
                <c:pt idx="0">
                  <c:v>0.32</c:v>
                </c:pt>
                <c:pt idx="1">
                  <c:v>0.34</c:v>
                </c:pt>
              </c:numCache>
            </c:numRef>
          </c:yVal>
          <c:smooth val="0"/>
          <c:extLst>
            <c:ext xmlns:c16="http://schemas.microsoft.com/office/drawing/2014/chart" uri="{C3380CC4-5D6E-409C-BE32-E72D297353CC}">
              <c16:uniqueId val="{00000005-C6E3-497A-A5C5-4CE74CCA24B4}"/>
            </c:ext>
          </c:extLst>
        </c:ser>
        <c:ser>
          <c:idx val="6"/>
          <c:order val="6"/>
          <c:marker>
            <c:spPr>
              <a:solidFill>
                <a:srgbClr val="0070C0"/>
              </a:solidFill>
            </c:spPr>
          </c:marker>
          <c:xVal>
            <c:numRef>
              <c:f>Sheet5!$AG$216</c:f>
              <c:numCache>
                <c:formatCode>0%</c:formatCode>
                <c:ptCount val="1"/>
                <c:pt idx="0">
                  <c:v>0</c:v>
                </c:pt>
              </c:numCache>
            </c:numRef>
          </c:xVal>
          <c:yVal>
            <c:numRef>
              <c:f>Sheet5!$AG$217</c:f>
              <c:numCache>
                <c:formatCode>0%</c:formatCode>
                <c:ptCount val="1"/>
                <c:pt idx="0">
                  <c:v>0</c:v>
                </c:pt>
              </c:numCache>
            </c:numRef>
          </c:yVal>
          <c:smooth val="0"/>
          <c:extLst>
            <c:ext xmlns:c16="http://schemas.microsoft.com/office/drawing/2014/chart" uri="{C3380CC4-5D6E-409C-BE32-E72D297353CC}">
              <c16:uniqueId val="{00000006-C6E3-497A-A5C5-4CE74CCA24B4}"/>
            </c:ext>
          </c:extLst>
        </c:ser>
        <c:dLbls>
          <c:showLegendKey val="0"/>
          <c:showVal val="0"/>
          <c:showCatName val="0"/>
          <c:showSerName val="0"/>
          <c:showPercent val="0"/>
          <c:showBubbleSize val="0"/>
        </c:dLbls>
        <c:axId val="1203080656"/>
        <c:axId val="1203081200"/>
      </c:scatterChart>
      <c:valAx>
        <c:axId val="1203080656"/>
        <c:scaling>
          <c:orientation val="maxMin"/>
          <c:max val="0.8"/>
          <c:min val="0.30000000000000032"/>
        </c:scaling>
        <c:delete val="0"/>
        <c:axPos val="b"/>
        <c:title>
          <c:tx>
            <c:rich>
              <a:bodyPr/>
              <a:lstStyle/>
              <a:p>
                <a:pPr>
                  <a:defRPr sz="1100"/>
                </a:pPr>
                <a:r>
                  <a:rPr lang="en-US" sz="1100"/>
                  <a:t>Coarsness Factor</a:t>
                </a:r>
              </a:p>
            </c:rich>
          </c:tx>
          <c:overlay val="0"/>
        </c:title>
        <c:numFmt formatCode="0%" sourceLinked="1"/>
        <c:majorTickMark val="out"/>
        <c:minorTickMark val="none"/>
        <c:tickLblPos val="nextTo"/>
        <c:crossAx val="1203081200"/>
        <c:crosses val="autoZero"/>
        <c:crossBetween val="midCat"/>
      </c:valAx>
      <c:valAx>
        <c:axId val="1203081200"/>
        <c:scaling>
          <c:orientation val="minMax"/>
          <c:max val="0.5"/>
          <c:min val="0.2"/>
        </c:scaling>
        <c:delete val="0"/>
        <c:axPos val="l"/>
        <c:majorGridlines/>
        <c:title>
          <c:tx>
            <c:rich>
              <a:bodyPr rot="-5400000" vert="horz"/>
              <a:lstStyle/>
              <a:p>
                <a:pPr>
                  <a:defRPr sz="1100"/>
                </a:pPr>
                <a:r>
                  <a:rPr lang="en-US" sz="1100"/>
                  <a:t>Workability Factor</a:t>
                </a:r>
              </a:p>
            </c:rich>
          </c:tx>
          <c:overlay val="0"/>
        </c:title>
        <c:numFmt formatCode="0.0%" sourceLinked="1"/>
        <c:majorTickMark val="out"/>
        <c:minorTickMark val="none"/>
        <c:tickLblPos val="nextTo"/>
        <c:crossAx val="1203080656"/>
        <c:crosses val="max"/>
        <c:crossBetween val="midCat"/>
      </c:valAx>
      <c:spPr>
        <a:solidFill>
          <a:schemeClr val="lt1"/>
        </a:solidFill>
        <a:ln w="25400" cap="flat" cmpd="sng" algn="ctr">
          <a:solidFill>
            <a:schemeClr val="accent3"/>
          </a:solidFill>
          <a:prstDash val="solid"/>
        </a:ln>
        <a:effectLst/>
      </c:spPr>
    </c:plotArea>
    <c:plotVisOnly val="1"/>
    <c:dispBlanksAs val="gap"/>
    <c:showDLblsOverMax val="0"/>
  </c:chart>
  <c:printSettings>
    <c:headerFooter/>
    <c:pageMargins b="0.75000000000000766" l="0.70000000000000062" r="0.70000000000000062" t="0.75000000000000766" header="0.30000000000000032" footer="0.30000000000000032"/>
    <c:pageSetup/>
  </c:printSettings>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90" workbookViewId="0"/>
  </sheetViews>
  <sheetProtection algorithmName="SHA-512" hashValue="cQtm8I3dbsGedZOp4eV8ny5ZlkJlA4rv4W4GdjFAghE6jlOXzoa8Ag+4qLBdEh4KHHvJn0Uw9fJebTeSJNr3OA==" saltValue="SPSUZstUEpV858QfBW897g==" spinCount="100000" content="1" objects="1"/>
  <pageMargins left="0.25" right="0.25" top="0.75" bottom="0.75" header="0.3" footer="0.3"/>
  <pageSetup orientation="landscape" horizontalDpi="4294967295" verticalDpi="4294967295" r:id="rId1"/>
  <headerFooter alignWithMargins="0"/>
  <drawing r:id="rId2"/>
</chartsheet>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8" Type="http://schemas.openxmlformats.org/officeDocument/2006/relationships/chart" Target="../charts/chart12.xml"/><Relationship Id="rId13" Type="http://schemas.openxmlformats.org/officeDocument/2006/relationships/chart" Target="../charts/chart17.xml"/><Relationship Id="rId3" Type="http://schemas.openxmlformats.org/officeDocument/2006/relationships/chart" Target="../charts/chart7.xml"/><Relationship Id="rId7" Type="http://schemas.openxmlformats.org/officeDocument/2006/relationships/chart" Target="../charts/chart11.xml"/><Relationship Id="rId12" Type="http://schemas.openxmlformats.org/officeDocument/2006/relationships/chart" Target="../charts/chart16.xml"/><Relationship Id="rId17" Type="http://schemas.openxmlformats.org/officeDocument/2006/relationships/chart" Target="../charts/chart21.xml"/><Relationship Id="rId2" Type="http://schemas.openxmlformats.org/officeDocument/2006/relationships/chart" Target="../charts/chart6.xml"/><Relationship Id="rId16" Type="http://schemas.openxmlformats.org/officeDocument/2006/relationships/chart" Target="../charts/chart20.xml"/><Relationship Id="rId1" Type="http://schemas.openxmlformats.org/officeDocument/2006/relationships/chart" Target="../charts/chart5.xml"/><Relationship Id="rId6" Type="http://schemas.openxmlformats.org/officeDocument/2006/relationships/chart" Target="../charts/chart10.xml"/><Relationship Id="rId11" Type="http://schemas.openxmlformats.org/officeDocument/2006/relationships/chart" Target="../charts/chart15.xml"/><Relationship Id="rId5" Type="http://schemas.openxmlformats.org/officeDocument/2006/relationships/chart" Target="../charts/chart9.xml"/><Relationship Id="rId15" Type="http://schemas.openxmlformats.org/officeDocument/2006/relationships/chart" Target="../charts/chart19.xml"/><Relationship Id="rId10" Type="http://schemas.openxmlformats.org/officeDocument/2006/relationships/chart" Target="../charts/chart14.xml"/><Relationship Id="rId4" Type="http://schemas.openxmlformats.org/officeDocument/2006/relationships/chart" Target="../charts/chart8.xml"/><Relationship Id="rId9" Type="http://schemas.openxmlformats.org/officeDocument/2006/relationships/chart" Target="../charts/chart13.xml"/><Relationship Id="rId14"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9.xml.rels><?xml version="1.0" encoding="UTF-8" standalone="yes"?>
<Relationships xmlns="http://schemas.openxmlformats.org/package/2006/relationships"><Relationship Id="rId8" Type="http://schemas.openxmlformats.org/officeDocument/2006/relationships/image" Target="../media/image16.jpeg"/><Relationship Id="rId13" Type="http://schemas.openxmlformats.org/officeDocument/2006/relationships/image" Target="../media/image21.jpeg"/><Relationship Id="rId18" Type="http://schemas.openxmlformats.org/officeDocument/2006/relationships/chart" Target="../charts/chart25.xml"/><Relationship Id="rId3" Type="http://schemas.openxmlformats.org/officeDocument/2006/relationships/image" Target="../media/image11.jpeg"/><Relationship Id="rId7" Type="http://schemas.openxmlformats.org/officeDocument/2006/relationships/image" Target="../media/image15.jpeg"/><Relationship Id="rId12" Type="http://schemas.openxmlformats.org/officeDocument/2006/relationships/image" Target="../media/image20.jpeg"/><Relationship Id="rId17" Type="http://schemas.openxmlformats.org/officeDocument/2006/relationships/chart" Target="../charts/chart24.xml"/><Relationship Id="rId2" Type="http://schemas.openxmlformats.org/officeDocument/2006/relationships/image" Target="../media/image10.jpeg"/><Relationship Id="rId16" Type="http://schemas.openxmlformats.org/officeDocument/2006/relationships/chart" Target="../charts/chart23.xml"/><Relationship Id="rId1" Type="http://schemas.openxmlformats.org/officeDocument/2006/relationships/image" Target="../media/image9.emf"/><Relationship Id="rId6" Type="http://schemas.openxmlformats.org/officeDocument/2006/relationships/image" Target="../media/image14.jpeg"/><Relationship Id="rId11" Type="http://schemas.openxmlformats.org/officeDocument/2006/relationships/image" Target="../media/image19.jpeg"/><Relationship Id="rId5" Type="http://schemas.openxmlformats.org/officeDocument/2006/relationships/image" Target="../media/image13.jpeg"/><Relationship Id="rId15" Type="http://schemas.openxmlformats.org/officeDocument/2006/relationships/chart" Target="../charts/chart22.xml"/><Relationship Id="rId10" Type="http://schemas.openxmlformats.org/officeDocument/2006/relationships/image" Target="../media/image18.jpeg"/><Relationship Id="rId4" Type="http://schemas.openxmlformats.org/officeDocument/2006/relationships/image" Target="../media/image12.jpeg"/><Relationship Id="rId9" Type="http://schemas.openxmlformats.org/officeDocument/2006/relationships/image" Target="../media/image17.jpeg"/><Relationship Id="rId14"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11</xdr:col>
      <xdr:colOff>220980</xdr:colOff>
      <xdr:row>0</xdr:row>
      <xdr:rowOff>0</xdr:rowOff>
    </xdr:from>
    <xdr:to>
      <xdr:col>12</xdr:col>
      <xdr:colOff>388620</xdr:colOff>
      <xdr:row>3</xdr:row>
      <xdr:rowOff>144780</xdr:rowOff>
    </xdr:to>
    <xdr:pic>
      <xdr:nvPicPr>
        <xdr:cNvPr id="3" name="Picture 2" descr="M&amp;R logo redo.BMP">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79920" y="0"/>
          <a:ext cx="7772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160020</xdr:colOff>
      <xdr:row>21</xdr:row>
      <xdr:rowOff>15240</xdr:rowOff>
    </xdr:from>
    <xdr:to>
      <xdr:col>0</xdr:col>
      <xdr:colOff>487680</xdr:colOff>
      <xdr:row>21</xdr:row>
      <xdr:rowOff>175260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020" y="5600700"/>
          <a:ext cx="32766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160020</xdr:colOff>
      <xdr:row>23</xdr:row>
      <xdr:rowOff>53340</xdr:rowOff>
    </xdr:from>
    <xdr:to>
      <xdr:col>0</xdr:col>
      <xdr:colOff>495300</xdr:colOff>
      <xdr:row>23</xdr:row>
      <xdr:rowOff>175260</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0020" y="5920740"/>
          <a:ext cx="33528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160020</xdr:colOff>
      <xdr:row>25</xdr:row>
      <xdr:rowOff>7620</xdr:rowOff>
    </xdr:from>
    <xdr:to>
      <xdr:col>0</xdr:col>
      <xdr:colOff>502920</xdr:colOff>
      <xdr:row>25</xdr:row>
      <xdr:rowOff>152400</xdr:rowOff>
    </xdr:to>
    <xdr:pic>
      <xdr:nvPicPr>
        <xdr:cNvPr id="6" name="Picture 9">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0020" y="6431280"/>
          <a:ext cx="34290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152400</xdr:colOff>
      <xdr:row>15</xdr:row>
      <xdr:rowOff>264795</xdr:rowOff>
    </xdr:from>
    <xdr:to>
      <xdr:col>0</xdr:col>
      <xdr:colOff>466725</xdr:colOff>
      <xdr:row>15</xdr:row>
      <xdr:rowOff>455295</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52400" y="4250055"/>
          <a:ext cx="314325" cy="190500"/>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editAs="oneCell">
    <xdr:from>
      <xdr:col>0</xdr:col>
      <xdr:colOff>165562</xdr:colOff>
      <xdr:row>12</xdr:row>
      <xdr:rowOff>66501</xdr:rowOff>
    </xdr:from>
    <xdr:to>
      <xdr:col>0</xdr:col>
      <xdr:colOff>493222</xdr:colOff>
      <xdr:row>12</xdr:row>
      <xdr:rowOff>226521</xdr:rowOff>
    </xdr:to>
    <xdr:pic>
      <xdr:nvPicPr>
        <xdr:cNvPr id="8" name="Picture 3">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5562" y="3149137"/>
          <a:ext cx="327660" cy="160020"/>
        </a:xfrm>
        <a:prstGeom prst="rect">
          <a:avLst/>
        </a:prstGeom>
        <a:solidFill>
          <a:schemeClr val="accent6">
            <a:lumMod val="75000"/>
          </a:schemeClr>
        </a:solidFill>
        <a:ln>
          <a:noFill/>
        </a:ln>
      </xdr:spPr>
    </xdr:pic>
    <xdr:clientData/>
  </xdr:twoCellAnchor>
  <xdr:twoCellAnchor editAs="oneCell">
    <xdr:from>
      <xdr:col>0</xdr:col>
      <xdr:colOff>160020</xdr:colOff>
      <xdr:row>18</xdr:row>
      <xdr:rowOff>60960</xdr:rowOff>
    </xdr:from>
    <xdr:to>
      <xdr:col>0</xdr:col>
      <xdr:colOff>487680</xdr:colOff>
      <xdr:row>19</xdr:row>
      <xdr:rowOff>0</xdr:rowOff>
    </xdr:to>
    <xdr:pic>
      <xdr:nvPicPr>
        <xdr:cNvPr id="9" name="Picture 3">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020" y="5074920"/>
          <a:ext cx="327660" cy="160020"/>
        </a:xfrm>
        <a:prstGeom prst="rect">
          <a:avLst/>
        </a:prstGeom>
        <a:solidFill>
          <a:schemeClr val="accent3">
            <a:lumMod val="75000"/>
          </a:schemeClr>
        </a:solidFill>
        <a:ln>
          <a:noFill/>
        </a:ln>
      </xdr:spPr>
    </xdr:pic>
    <xdr:clientData/>
  </xdr:twoCellAnchor>
  <xdr:twoCellAnchor>
    <xdr:from>
      <xdr:col>0</xdr:col>
      <xdr:colOff>486833</xdr:colOff>
      <xdr:row>7</xdr:row>
      <xdr:rowOff>0</xdr:rowOff>
    </xdr:from>
    <xdr:to>
      <xdr:col>14</xdr:col>
      <xdr:colOff>571500</xdr:colOff>
      <xdr:row>8</xdr:row>
      <xdr:rowOff>60614</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486833" y="2011680"/>
          <a:ext cx="8672407" cy="479714"/>
        </a:xfrm>
        <a:prstGeom prst="rect">
          <a:avLst/>
        </a:prstGeom>
        <a:ln w="28575">
          <a:solidFill>
            <a:srgbClr val="C00000"/>
          </a:solid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pPr algn="ctr"/>
          <a:r>
            <a:rPr lang="en-US" sz="1100" b="1"/>
            <a:t>FOR THE TRADITIONAL 47B MIX DESIGN -</a:t>
          </a:r>
          <a:r>
            <a:rPr lang="en-US" sz="1100" b="1" baseline="0"/>
            <a:t> THE CONTRACTOR IS ONLY REQUIRED TO SUBMIT THE  </a:t>
          </a:r>
          <a:r>
            <a:rPr lang="en-US" sz="1100" b="1"/>
            <a:t>MIX DESCRIPTION AND THE</a:t>
          </a:r>
          <a:r>
            <a:rPr lang="en-US" sz="1100" b="1" baseline="0"/>
            <a:t> CONTRACTOR TAGS</a:t>
          </a:r>
        </a:p>
        <a:p>
          <a:pPr algn="ctr"/>
          <a:r>
            <a:rPr lang="en-US" sz="1100" b="1" baseline="0"/>
            <a:t>FOR NEW MIX DESIGN - THE CONTRACTOR IS REQUIRED TO SUBMIT THE WORKSHEET TABS LISTED BELOW.</a:t>
          </a:r>
          <a:endParaRPr lang="en-US" sz="1100"/>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cdr:x>
      <cdr:y>0.18576</cdr:y>
    </cdr:from>
    <cdr:to>
      <cdr:x>1</cdr:x>
      <cdr:y>0.5191</cdr:y>
    </cdr:to>
    <cdr:sp macro="" textlink="">
      <cdr:nvSpPr>
        <cdr:cNvPr id="6" name="TextBox 5"/>
        <cdr:cNvSpPr txBox="1"/>
      </cdr:nvSpPr>
      <cdr:spPr>
        <a:xfrm xmlns:a="http://schemas.openxmlformats.org/drawingml/2006/main">
          <a:off x="3943350" y="5095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0.43602</cdr:x>
      <cdr:y>0.93203</cdr:y>
    </cdr:from>
    <cdr:to>
      <cdr:x>0.58926</cdr:x>
      <cdr:y>1</cdr:y>
    </cdr:to>
    <cdr:sp macro="" textlink="">
      <cdr:nvSpPr>
        <cdr:cNvPr id="57" name="TextBox 56"/>
        <cdr:cNvSpPr txBox="1"/>
      </cdr:nvSpPr>
      <cdr:spPr>
        <a:xfrm xmlns:a="http://schemas.openxmlformats.org/drawingml/2006/main">
          <a:off x="2873919" y="4324370"/>
          <a:ext cx="1010051" cy="31536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400" b="1"/>
            <a:t>Sieve</a:t>
          </a:r>
          <a:r>
            <a:rPr lang="en-US" sz="1400" b="1" baseline="0"/>
            <a:t> No.</a:t>
          </a:r>
          <a:endParaRPr lang="en-US" sz="1400" b="1"/>
        </a:p>
      </cdr:txBody>
    </cdr:sp>
  </cdr:relSizeAnchor>
</c:userShapes>
</file>

<file path=xl/drawings/drawing11.xml><?xml version="1.0" encoding="utf-8"?>
<xdr:wsDr xmlns:xdr="http://schemas.openxmlformats.org/drawingml/2006/spreadsheetDrawing" xmlns:a="http://schemas.openxmlformats.org/drawingml/2006/main">
  <xdr:twoCellAnchor>
    <xdr:from>
      <xdr:col>30</xdr:col>
      <xdr:colOff>476250</xdr:colOff>
      <xdr:row>107</xdr:row>
      <xdr:rowOff>66675</xdr:rowOff>
    </xdr:from>
    <xdr:to>
      <xdr:col>41</xdr:col>
      <xdr:colOff>590551</xdr:colOff>
      <xdr:row>128</xdr:row>
      <xdr:rowOff>57150</xdr:rowOff>
    </xdr:to>
    <xdr:graphicFrame macro="">
      <xdr:nvGraphicFramePr>
        <xdr:cNvPr id="29" name="Chart 28">
          <a:extLst>
            <a:ext uri="{FF2B5EF4-FFF2-40B4-BE49-F238E27FC236}">
              <a16:creationId xmlns:a16="http://schemas.microsoft.com/office/drawing/2014/main" id="{00000000-0008-0000-0A00-00001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30</xdr:col>
      <xdr:colOff>457200</xdr:colOff>
      <xdr:row>135</xdr:row>
      <xdr:rowOff>76200</xdr:rowOff>
    </xdr:from>
    <xdr:to>
      <xdr:col>41</xdr:col>
      <xdr:colOff>571501</xdr:colOff>
      <xdr:row>156</xdr:row>
      <xdr:rowOff>66675</xdr:rowOff>
    </xdr:to>
    <xdr:graphicFrame macro="">
      <xdr:nvGraphicFramePr>
        <xdr:cNvPr id="34" name="Chart 33">
          <a:extLst>
            <a:ext uri="{FF2B5EF4-FFF2-40B4-BE49-F238E27FC236}">
              <a16:creationId xmlns:a16="http://schemas.microsoft.com/office/drawing/2014/main" id="{00000000-0008-0000-0A00-00002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371475</xdr:colOff>
      <xdr:row>163</xdr:row>
      <xdr:rowOff>161925</xdr:rowOff>
    </xdr:from>
    <xdr:to>
      <xdr:col>41</xdr:col>
      <xdr:colOff>485776</xdr:colOff>
      <xdr:row>184</xdr:row>
      <xdr:rowOff>152400</xdr:rowOff>
    </xdr:to>
    <xdr:graphicFrame macro="">
      <xdr:nvGraphicFramePr>
        <xdr:cNvPr id="37" name="Chart 36">
          <a:extLst>
            <a:ext uri="{FF2B5EF4-FFF2-40B4-BE49-F238E27FC236}">
              <a16:creationId xmlns:a16="http://schemas.microsoft.com/office/drawing/2014/main" id="{00000000-0008-0000-0A00-00002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30</xdr:col>
      <xdr:colOff>400050</xdr:colOff>
      <xdr:row>78</xdr:row>
      <xdr:rowOff>152400</xdr:rowOff>
    </xdr:from>
    <xdr:to>
      <xdr:col>41</xdr:col>
      <xdr:colOff>514351</xdr:colOff>
      <xdr:row>99</xdr:row>
      <xdr:rowOff>142875</xdr:rowOff>
    </xdr:to>
    <xdr:graphicFrame macro="">
      <xdr:nvGraphicFramePr>
        <xdr:cNvPr id="40" name="Chart 39">
          <a:extLst>
            <a:ext uri="{FF2B5EF4-FFF2-40B4-BE49-F238E27FC236}">
              <a16:creationId xmlns:a16="http://schemas.microsoft.com/office/drawing/2014/main" id="{00000000-0008-0000-0A00-00002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30</xdr:col>
      <xdr:colOff>438150</xdr:colOff>
      <xdr:row>191</xdr:row>
      <xdr:rowOff>152400</xdr:rowOff>
    </xdr:from>
    <xdr:to>
      <xdr:col>41</xdr:col>
      <xdr:colOff>552451</xdr:colOff>
      <xdr:row>213</xdr:row>
      <xdr:rowOff>85725</xdr:rowOff>
    </xdr:to>
    <xdr:graphicFrame macro="">
      <xdr:nvGraphicFramePr>
        <xdr:cNvPr id="46" name="Chart 45">
          <a:extLst>
            <a:ext uri="{FF2B5EF4-FFF2-40B4-BE49-F238E27FC236}">
              <a16:creationId xmlns:a16="http://schemas.microsoft.com/office/drawing/2014/main" id="{00000000-0008-0000-0A00-00002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43</xdr:col>
      <xdr:colOff>219075</xdr:colOff>
      <xdr:row>57</xdr:row>
      <xdr:rowOff>123825</xdr:rowOff>
    </xdr:from>
    <xdr:to>
      <xdr:col>55</xdr:col>
      <xdr:colOff>47626</xdr:colOff>
      <xdr:row>77</xdr:row>
      <xdr:rowOff>38101</xdr:rowOff>
    </xdr:to>
    <xdr:graphicFrame macro="">
      <xdr:nvGraphicFramePr>
        <xdr:cNvPr id="31" name="Chart 30">
          <a:extLst>
            <a:ext uri="{FF2B5EF4-FFF2-40B4-BE49-F238E27FC236}">
              <a16:creationId xmlns:a16="http://schemas.microsoft.com/office/drawing/2014/main" id="{00000000-0008-0000-0A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43</xdr:col>
      <xdr:colOff>228600</xdr:colOff>
      <xdr:row>80</xdr:row>
      <xdr:rowOff>123825</xdr:rowOff>
    </xdr:from>
    <xdr:to>
      <xdr:col>55</xdr:col>
      <xdr:colOff>57151</xdr:colOff>
      <xdr:row>100</xdr:row>
      <xdr:rowOff>38101</xdr:rowOff>
    </xdr:to>
    <xdr:graphicFrame macro="">
      <xdr:nvGraphicFramePr>
        <xdr:cNvPr id="35" name="Chart 34">
          <a:extLst>
            <a:ext uri="{FF2B5EF4-FFF2-40B4-BE49-F238E27FC236}">
              <a16:creationId xmlns:a16="http://schemas.microsoft.com/office/drawing/2014/main" id="{00000000-0008-0000-0A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43</xdr:col>
      <xdr:colOff>209550</xdr:colOff>
      <xdr:row>107</xdr:row>
      <xdr:rowOff>38100</xdr:rowOff>
    </xdr:from>
    <xdr:to>
      <xdr:col>55</xdr:col>
      <xdr:colOff>38101</xdr:colOff>
      <xdr:row>126</xdr:row>
      <xdr:rowOff>142876</xdr:rowOff>
    </xdr:to>
    <xdr:graphicFrame macro="">
      <xdr:nvGraphicFramePr>
        <xdr:cNvPr id="38" name="Chart 37">
          <a:extLst>
            <a:ext uri="{FF2B5EF4-FFF2-40B4-BE49-F238E27FC236}">
              <a16:creationId xmlns:a16="http://schemas.microsoft.com/office/drawing/2014/main" id="{00000000-0008-0000-0A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43</xdr:col>
      <xdr:colOff>209550</xdr:colOff>
      <xdr:row>135</xdr:row>
      <xdr:rowOff>47625</xdr:rowOff>
    </xdr:from>
    <xdr:to>
      <xdr:col>55</xdr:col>
      <xdr:colOff>38101</xdr:colOff>
      <xdr:row>154</xdr:row>
      <xdr:rowOff>152401</xdr:rowOff>
    </xdr:to>
    <xdr:graphicFrame macro="">
      <xdr:nvGraphicFramePr>
        <xdr:cNvPr id="39" name="Chart 38">
          <a:extLst>
            <a:ext uri="{FF2B5EF4-FFF2-40B4-BE49-F238E27FC236}">
              <a16:creationId xmlns:a16="http://schemas.microsoft.com/office/drawing/2014/main" id="{00000000-0008-0000-0A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43</xdr:col>
      <xdr:colOff>180975</xdr:colOff>
      <xdr:row>163</xdr:row>
      <xdr:rowOff>133350</xdr:rowOff>
    </xdr:from>
    <xdr:to>
      <xdr:col>55</xdr:col>
      <xdr:colOff>9526</xdr:colOff>
      <xdr:row>183</xdr:row>
      <xdr:rowOff>47626</xdr:rowOff>
    </xdr:to>
    <xdr:graphicFrame macro="">
      <xdr:nvGraphicFramePr>
        <xdr:cNvPr id="41" name="Chart 40">
          <a:extLst>
            <a:ext uri="{FF2B5EF4-FFF2-40B4-BE49-F238E27FC236}">
              <a16:creationId xmlns:a16="http://schemas.microsoft.com/office/drawing/2014/main" id="{00000000-0008-0000-0A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43</xdr:col>
      <xdr:colOff>266700</xdr:colOff>
      <xdr:row>191</xdr:row>
      <xdr:rowOff>152400</xdr:rowOff>
    </xdr:from>
    <xdr:to>
      <xdr:col>55</xdr:col>
      <xdr:colOff>95251</xdr:colOff>
      <xdr:row>212</xdr:row>
      <xdr:rowOff>9526</xdr:rowOff>
    </xdr:to>
    <xdr:graphicFrame macro="">
      <xdr:nvGraphicFramePr>
        <xdr:cNvPr id="52" name="Chart 51">
          <a:extLst>
            <a:ext uri="{FF2B5EF4-FFF2-40B4-BE49-F238E27FC236}">
              <a16:creationId xmlns:a16="http://schemas.microsoft.com/office/drawing/2014/main" id="{00000000-0008-0000-0A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15</xdr:col>
      <xdr:colOff>111125</xdr:colOff>
      <xdr:row>56</xdr:row>
      <xdr:rowOff>95250</xdr:rowOff>
    </xdr:from>
    <xdr:to>
      <xdr:col>28</xdr:col>
      <xdr:colOff>215900</xdr:colOff>
      <xdr:row>75</xdr:row>
      <xdr:rowOff>120650</xdr:rowOff>
    </xdr:to>
    <xdr:graphicFrame macro="">
      <xdr:nvGraphicFramePr>
        <xdr:cNvPr id="24" name="Chart 23">
          <a:extLst>
            <a:ext uri="{FF2B5EF4-FFF2-40B4-BE49-F238E27FC236}">
              <a16:creationId xmlns:a16="http://schemas.microsoft.com/office/drawing/2014/main" id="{00000000-0008-0000-0A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438150</xdr:colOff>
      <xdr:row>80</xdr:row>
      <xdr:rowOff>38100</xdr:rowOff>
    </xdr:from>
    <xdr:to>
      <xdr:col>28</xdr:col>
      <xdr:colOff>542925</xdr:colOff>
      <xdr:row>99</xdr:row>
      <xdr:rowOff>38100</xdr:rowOff>
    </xdr:to>
    <xdr:graphicFrame macro="">
      <xdr:nvGraphicFramePr>
        <xdr:cNvPr id="28" name="Chart 27">
          <a:extLst>
            <a:ext uri="{FF2B5EF4-FFF2-40B4-BE49-F238E27FC236}">
              <a16:creationId xmlns:a16="http://schemas.microsoft.com/office/drawing/2014/main" id="{00000000-0008-0000-0A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171450</xdr:colOff>
      <xdr:row>108</xdr:row>
      <xdr:rowOff>133350</xdr:rowOff>
    </xdr:from>
    <xdr:to>
      <xdr:col>28</xdr:col>
      <xdr:colOff>276225</xdr:colOff>
      <xdr:row>127</xdr:row>
      <xdr:rowOff>133350</xdr:rowOff>
    </xdr:to>
    <xdr:graphicFrame macro="">
      <xdr:nvGraphicFramePr>
        <xdr:cNvPr id="32" name="Chart 31">
          <a:extLst>
            <a:ext uri="{FF2B5EF4-FFF2-40B4-BE49-F238E27FC236}">
              <a16:creationId xmlns:a16="http://schemas.microsoft.com/office/drawing/2014/main" id="{00000000-0008-0000-0A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15</xdr:col>
      <xdr:colOff>238125</xdr:colOff>
      <xdr:row>136</xdr:row>
      <xdr:rowOff>114300</xdr:rowOff>
    </xdr:from>
    <xdr:to>
      <xdr:col>28</xdr:col>
      <xdr:colOff>342900</xdr:colOff>
      <xdr:row>155</xdr:row>
      <xdr:rowOff>114300</xdr:rowOff>
    </xdr:to>
    <xdr:graphicFrame macro="">
      <xdr:nvGraphicFramePr>
        <xdr:cNvPr id="33" name="Chart 32">
          <a:extLst>
            <a:ext uri="{FF2B5EF4-FFF2-40B4-BE49-F238E27FC236}">
              <a16:creationId xmlns:a16="http://schemas.microsoft.com/office/drawing/2014/main" id="{00000000-0008-0000-0A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15</xdr:col>
      <xdr:colOff>180975</xdr:colOff>
      <xdr:row>164</xdr:row>
      <xdr:rowOff>114300</xdr:rowOff>
    </xdr:from>
    <xdr:to>
      <xdr:col>28</xdr:col>
      <xdr:colOff>285750</xdr:colOff>
      <xdr:row>183</xdr:row>
      <xdr:rowOff>114300</xdr:rowOff>
    </xdr:to>
    <xdr:graphicFrame macro="">
      <xdr:nvGraphicFramePr>
        <xdr:cNvPr id="36" name="Chart 35">
          <a:extLst>
            <a:ext uri="{FF2B5EF4-FFF2-40B4-BE49-F238E27FC236}">
              <a16:creationId xmlns:a16="http://schemas.microsoft.com/office/drawing/2014/main" id="{00000000-0008-0000-0A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14</xdr:col>
      <xdr:colOff>523875</xdr:colOff>
      <xdr:row>193</xdr:row>
      <xdr:rowOff>47625</xdr:rowOff>
    </xdr:from>
    <xdr:to>
      <xdr:col>28</xdr:col>
      <xdr:colOff>19050</xdr:colOff>
      <xdr:row>212</xdr:row>
      <xdr:rowOff>180975</xdr:rowOff>
    </xdr:to>
    <xdr:graphicFrame macro="">
      <xdr:nvGraphicFramePr>
        <xdr:cNvPr id="42" name="Chart 41">
          <a:extLst>
            <a:ext uri="{FF2B5EF4-FFF2-40B4-BE49-F238E27FC236}">
              <a16:creationId xmlns:a16="http://schemas.microsoft.com/office/drawing/2014/main" id="{00000000-0008-0000-0A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oneCellAnchor>
    <xdr:from>
      <xdr:col>93</xdr:col>
      <xdr:colOff>200342</xdr:colOff>
      <xdr:row>223</xdr:row>
      <xdr:rowOff>132143</xdr:rowOff>
    </xdr:from>
    <xdr:ext cx="1085215" cy="0"/>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67532567" y="36260468"/>
          <a:ext cx="1085215"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100" i="0">
              <a:latin typeface="Cambria Math"/>
            </a:rPr>
            <a:t>(𝑥+𝑎)^𝑛=∑24_(𝑘=0)^𝑛▒〖(𝑛¦𝑘) 𝑥^𝑘 𝑎^(𝑛−𝑘) 〗</a:t>
          </a:r>
          <a:endParaRPr lang="en-US" sz="1100"/>
        </a:p>
      </xdr:txBody>
    </xdr:sp>
    <xdr:clientData/>
  </xdr:oneCellAnchor>
  <xdr:oneCellAnchor>
    <xdr:from>
      <xdr:col>96</xdr:col>
      <xdr:colOff>19368</xdr:colOff>
      <xdr:row>220</xdr:row>
      <xdr:rowOff>28575</xdr:rowOff>
    </xdr:from>
    <xdr:ext cx="1190307" cy="593368"/>
    <xdr:sp macro="" textlink="">
      <xdr:nvSpPr>
        <xdr:cNvPr id="9" name="TextBox 8">
          <a:extLst>
            <a:ext uri="{FF2B5EF4-FFF2-40B4-BE49-F238E27FC236}">
              <a16:creationId xmlns:a16="http://schemas.microsoft.com/office/drawing/2014/main" id="{00000000-0008-0000-0A00-000009000000}"/>
            </a:ext>
          </a:extLst>
        </xdr:cNvPr>
        <xdr:cNvSpPr txBox="1"/>
      </xdr:nvSpPr>
      <xdr:spPr>
        <a:xfrm>
          <a:off x="69180393" y="35718750"/>
          <a:ext cx="1190307" cy="5933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i="0">
              <a:latin typeface="Cambria Math"/>
            </a:rPr>
            <a:t>∑24_(</a:t>
          </a:r>
          <a:r>
            <a:rPr lang="en-US" sz="1100" b="0" i="0">
              <a:latin typeface="Cambria Math"/>
            </a:rPr>
            <a:t>𝑗=1)^(𝑖−1)▒〖𝑟𝑗−∑24_(𝑗=𝑖+1)^𝑛▒𝑟𝑗〗</a:t>
          </a:r>
          <a:endParaRPr lang="en-US" sz="1100"/>
        </a:p>
      </xdr:txBody>
    </xdr:sp>
    <xdr:clientData/>
  </xdr:oneCellAnchor>
</xdr:wsDr>
</file>

<file path=xl/drawings/drawing12.xml><?xml version="1.0" encoding="utf-8"?>
<c:userShapes xmlns:c="http://schemas.openxmlformats.org/drawingml/2006/chart">
  <cdr:relSizeAnchor xmlns:cdr="http://schemas.openxmlformats.org/drawingml/2006/chartDrawing">
    <cdr:from>
      <cdr:x>0.39403</cdr:x>
      <cdr:y>0.64893</cdr:y>
    </cdr:from>
    <cdr:to>
      <cdr:x>0.57747</cdr:x>
      <cdr:y>0.7325</cdr:y>
    </cdr:to>
    <cdr:sp macro="" textlink="">
      <cdr:nvSpPr>
        <cdr:cNvPr id="53" name="TextBox 52"/>
        <cdr:cNvSpPr txBox="1"/>
      </cdr:nvSpPr>
      <cdr:spPr>
        <a:xfrm xmlns:a="http://schemas.openxmlformats.org/drawingml/2006/main">
          <a:off x="2398254" y="2472423"/>
          <a:ext cx="1116503" cy="31840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Zone</a:t>
          </a:r>
          <a:r>
            <a:rPr lang="en-US" sz="1100" b="1" baseline="0"/>
            <a:t> V , Rocky</a:t>
          </a:r>
          <a:endParaRPr lang="en-US" sz="1100" b="1"/>
        </a:p>
      </cdr:txBody>
    </cdr:sp>
  </cdr:relSizeAnchor>
  <cdr:relSizeAnchor xmlns:cdr="http://schemas.openxmlformats.org/drawingml/2006/chartDrawing">
    <cdr:from>
      <cdr:x>0.49645</cdr:x>
      <cdr:y>0.66752</cdr:y>
    </cdr:from>
    <cdr:to>
      <cdr:x>0.74291</cdr:x>
      <cdr:y>0.77238</cdr:y>
    </cdr:to>
    <cdr:sp macro="" textlink="">
      <cdr:nvSpPr>
        <cdr:cNvPr id="54" name="TextBox 53"/>
        <cdr:cNvSpPr txBox="1"/>
      </cdr:nvSpPr>
      <cdr:spPr>
        <a:xfrm xmlns:a="http://schemas.openxmlformats.org/drawingml/2006/main">
          <a:off x="2667001" y="2486023"/>
          <a:ext cx="1323975" cy="390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0.35266</cdr:x>
      <cdr:y>0.25877</cdr:y>
    </cdr:from>
    <cdr:to>
      <cdr:x>0.52288</cdr:x>
      <cdr:y>0.38921</cdr:y>
    </cdr:to>
    <cdr:sp macro="" textlink="">
      <cdr:nvSpPr>
        <cdr:cNvPr id="55" name="TextBox 54"/>
        <cdr:cNvSpPr txBox="1"/>
      </cdr:nvSpPr>
      <cdr:spPr>
        <a:xfrm xmlns:a="http://schemas.openxmlformats.org/drawingml/2006/main" rot="20980170">
          <a:off x="2405098" y="1067268"/>
          <a:ext cx="1160883" cy="5379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Zone</a:t>
          </a:r>
          <a:r>
            <a:rPr lang="en-US" sz="1100" baseline="0"/>
            <a:t> II,well graded</a:t>
          </a:r>
        </a:p>
        <a:p xmlns:a="http://schemas.openxmlformats.org/drawingml/2006/main">
          <a:r>
            <a:rPr lang="en-US" sz="1100" baseline="0"/>
            <a:t>1.5" to 3/4"</a:t>
          </a:r>
          <a:endParaRPr lang="en-US" sz="1100"/>
        </a:p>
      </cdr:txBody>
    </cdr:sp>
  </cdr:relSizeAnchor>
  <cdr:relSizeAnchor xmlns:cdr="http://schemas.openxmlformats.org/drawingml/2006/chartDrawing">
    <cdr:from>
      <cdr:x>0.09971</cdr:x>
      <cdr:y>0.33053</cdr:y>
    </cdr:from>
    <cdr:to>
      <cdr:x>0.18298</cdr:x>
      <cdr:y>0.62891</cdr:y>
    </cdr:to>
    <cdr:sp macro="" textlink="">
      <cdr:nvSpPr>
        <cdr:cNvPr id="56" name="TextBox 55"/>
        <cdr:cNvSpPr txBox="1"/>
      </cdr:nvSpPr>
      <cdr:spPr>
        <a:xfrm xmlns:a="http://schemas.openxmlformats.org/drawingml/2006/main" rot="16200000">
          <a:off x="348642" y="1694557"/>
          <a:ext cx="1230615" cy="5678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Zone </a:t>
          </a:r>
          <a:r>
            <a:rPr lang="en-US" sz="1100" b="1" baseline="0"/>
            <a:t> I , </a:t>
          </a:r>
        </a:p>
        <a:p xmlns:a="http://schemas.openxmlformats.org/drawingml/2006/main">
          <a:r>
            <a:rPr lang="en-US" sz="1100" b="1" baseline="0"/>
            <a:t>Gab Graded</a:t>
          </a:r>
          <a:endParaRPr lang="en-US" sz="1100" b="1"/>
        </a:p>
      </cdr:txBody>
    </cdr:sp>
  </cdr:relSizeAnchor>
  <cdr:relSizeAnchor xmlns:cdr="http://schemas.openxmlformats.org/drawingml/2006/chartDrawing">
    <cdr:from>
      <cdr:x>0.672</cdr:x>
      <cdr:y>0.24978</cdr:y>
    </cdr:from>
    <cdr:to>
      <cdr:x>0.85108</cdr:x>
      <cdr:y>0.43392</cdr:y>
    </cdr:to>
    <cdr:sp macro="" textlink="">
      <cdr:nvSpPr>
        <cdr:cNvPr id="57" name="TextBox 56"/>
        <cdr:cNvSpPr txBox="1"/>
      </cdr:nvSpPr>
      <cdr:spPr>
        <a:xfrm xmlns:a="http://schemas.openxmlformats.org/drawingml/2006/main">
          <a:off x="4090101" y="951662"/>
          <a:ext cx="1089966" cy="70157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Zone III,</a:t>
          </a:r>
        </a:p>
        <a:p xmlns:a="http://schemas.openxmlformats.org/drawingml/2006/main">
          <a:r>
            <a:rPr lang="en-US" sz="1100" b="1"/>
            <a:t>Well</a:t>
          </a:r>
          <a:r>
            <a:rPr lang="en-US" sz="1100" b="1" baseline="0"/>
            <a:t> graded,</a:t>
          </a:r>
        </a:p>
        <a:p xmlns:a="http://schemas.openxmlformats.org/drawingml/2006/main">
          <a:r>
            <a:rPr lang="en-US" sz="1100" b="1" baseline="0"/>
            <a:t>3/4" and finer</a:t>
          </a:r>
          <a:endParaRPr lang="en-US" sz="1100" b="1"/>
        </a:p>
      </cdr:txBody>
    </cdr:sp>
  </cdr:relSizeAnchor>
  <cdr:relSizeAnchor xmlns:cdr="http://schemas.openxmlformats.org/drawingml/2006/chartDrawing">
    <cdr:from>
      <cdr:x>0.18949</cdr:x>
      <cdr:y>0.16443</cdr:y>
    </cdr:from>
    <cdr:to>
      <cdr:x>0.35994</cdr:x>
      <cdr:y>0.2625</cdr:y>
    </cdr:to>
    <cdr:sp macro="" textlink="">
      <cdr:nvSpPr>
        <cdr:cNvPr id="58" name="TextBox 57"/>
        <cdr:cNvSpPr txBox="1"/>
      </cdr:nvSpPr>
      <cdr:spPr>
        <a:xfrm xmlns:a="http://schemas.openxmlformats.org/drawingml/2006/main">
          <a:off x="1153307" y="626478"/>
          <a:ext cx="1037444" cy="37364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Zone IV, sticky</a:t>
          </a:r>
        </a:p>
        <a:p xmlns:a="http://schemas.openxmlformats.org/drawingml/2006/main">
          <a:endParaRPr lang="en-US" sz="1100"/>
        </a:p>
      </cdr:txBody>
    </cdr:sp>
  </cdr:relSizeAnchor>
  <cdr:relSizeAnchor xmlns:cdr="http://schemas.openxmlformats.org/drawingml/2006/chartDrawing">
    <cdr:from>
      <cdr:x>0.61407</cdr:x>
      <cdr:y>0.68805</cdr:y>
    </cdr:from>
    <cdr:to>
      <cdr:x>0.79137</cdr:x>
      <cdr:y>0.81337</cdr:y>
    </cdr:to>
    <cdr:sp macro="" textlink="">
      <cdr:nvSpPr>
        <cdr:cNvPr id="64" name="TextBox 63"/>
        <cdr:cNvSpPr txBox="1"/>
      </cdr:nvSpPr>
      <cdr:spPr>
        <a:xfrm xmlns:a="http://schemas.openxmlformats.org/drawingml/2006/main">
          <a:off x="4187925" y="2837723"/>
          <a:ext cx="1209169" cy="5168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u="sng"/>
            <a:t>Workability</a:t>
          </a:r>
        </a:p>
        <a:p xmlns:a="http://schemas.openxmlformats.org/drawingml/2006/main">
          <a:r>
            <a:rPr lang="en-US" sz="1100" u="sng"/>
            <a:t>Box</a:t>
          </a:r>
        </a:p>
      </cdr:txBody>
    </cdr:sp>
  </cdr:relSizeAnchor>
  <cdr:relSizeAnchor xmlns:cdr="http://schemas.openxmlformats.org/drawingml/2006/chartDrawing">
    <cdr:from>
      <cdr:x>0.51169</cdr:x>
      <cdr:y>0.48152</cdr:y>
    </cdr:from>
    <cdr:to>
      <cdr:x>0.64315</cdr:x>
      <cdr:y>0.70652</cdr:y>
    </cdr:to>
    <cdr:sp macro="" textlink="">
      <cdr:nvSpPr>
        <cdr:cNvPr id="19" name="Curved Connector 18"/>
        <cdr:cNvSpPr/>
      </cdr:nvSpPr>
      <cdr:spPr>
        <a:xfrm xmlns:a="http://schemas.openxmlformats.org/drawingml/2006/main" rot="16200000" flipV="1">
          <a:off x="3473932" y="2001677"/>
          <a:ext cx="927972" cy="896544"/>
        </a:xfrm>
        <a:prstGeom xmlns:a="http://schemas.openxmlformats.org/drawingml/2006/main" prst="curvedConnector3">
          <a:avLst>
            <a:gd name="adj1" fmla="val 50000"/>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13.xml><?xml version="1.0" encoding="utf-8"?>
<c:userShapes xmlns:c="http://schemas.openxmlformats.org/drawingml/2006/chart">
  <cdr:relSizeAnchor xmlns:cdr="http://schemas.openxmlformats.org/drawingml/2006/chartDrawing">
    <cdr:from>
      <cdr:x>0.39403</cdr:x>
      <cdr:y>0.64893</cdr:y>
    </cdr:from>
    <cdr:to>
      <cdr:x>0.57747</cdr:x>
      <cdr:y>0.7325</cdr:y>
    </cdr:to>
    <cdr:sp macro="" textlink="">
      <cdr:nvSpPr>
        <cdr:cNvPr id="53" name="TextBox 52"/>
        <cdr:cNvSpPr txBox="1"/>
      </cdr:nvSpPr>
      <cdr:spPr>
        <a:xfrm xmlns:a="http://schemas.openxmlformats.org/drawingml/2006/main">
          <a:off x="2398254" y="2472423"/>
          <a:ext cx="1116503" cy="31840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Zone</a:t>
          </a:r>
          <a:r>
            <a:rPr lang="en-US" sz="1100" b="1" baseline="0"/>
            <a:t> V , Rocky</a:t>
          </a:r>
          <a:endParaRPr lang="en-US" sz="1100" b="1"/>
        </a:p>
      </cdr:txBody>
    </cdr:sp>
  </cdr:relSizeAnchor>
  <cdr:relSizeAnchor xmlns:cdr="http://schemas.openxmlformats.org/drawingml/2006/chartDrawing">
    <cdr:from>
      <cdr:x>0.49645</cdr:x>
      <cdr:y>0.66752</cdr:y>
    </cdr:from>
    <cdr:to>
      <cdr:x>0.74291</cdr:x>
      <cdr:y>0.77238</cdr:y>
    </cdr:to>
    <cdr:sp macro="" textlink="">
      <cdr:nvSpPr>
        <cdr:cNvPr id="54" name="TextBox 53"/>
        <cdr:cNvSpPr txBox="1"/>
      </cdr:nvSpPr>
      <cdr:spPr>
        <a:xfrm xmlns:a="http://schemas.openxmlformats.org/drawingml/2006/main">
          <a:off x="2667001" y="2486023"/>
          <a:ext cx="1323975" cy="390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0.35266</cdr:x>
      <cdr:y>0.25877</cdr:y>
    </cdr:from>
    <cdr:to>
      <cdr:x>0.52288</cdr:x>
      <cdr:y>0.38921</cdr:y>
    </cdr:to>
    <cdr:sp macro="" textlink="">
      <cdr:nvSpPr>
        <cdr:cNvPr id="55" name="TextBox 54"/>
        <cdr:cNvSpPr txBox="1"/>
      </cdr:nvSpPr>
      <cdr:spPr>
        <a:xfrm xmlns:a="http://schemas.openxmlformats.org/drawingml/2006/main" rot="20980170">
          <a:off x="2405098" y="1067268"/>
          <a:ext cx="1160883" cy="5379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Zone</a:t>
          </a:r>
          <a:r>
            <a:rPr lang="en-US" sz="1100" baseline="0"/>
            <a:t> II,well graded</a:t>
          </a:r>
        </a:p>
        <a:p xmlns:a="http://schemas.openxmlformats.org/drawingml/2006/main">
          <a:r>
            <a:rPr lang="en-US" sz="1100" baseline="0"/>
            <a:t>1.5" to 3/4"</a:t>
          </a:r>
          <a:endParaRPr lang="en-US" sz="1100"/>
        </a:p>
      </cdr:txBody>
    </cdr:sp>
  </cdr:relSizeAnchor>
  <cdr:relSizeAnchor xmlns:cdr="http://schemas.openxmlformats.org/drawingml/2006/chartDrawing">
    <cdr:from>
      <cdr:x>0.09971</cdr:x>
      <cdr:y>0.33053</cdr:y>
    </cdr:from>
    <cdr:to>
      <cdr:x>0.18298</cdr:x>
      <cdr:y>0.62891</cdr:y>
    </cdr:to>
    <cdr:sp macro="" textlink="">
      <cdr:nvSpPr>
        <cdr:cNvPr id="56" name="TextBox 55"/>
        <cdr:cNvSpPr txBox="1"/>
      </cdr:nvSpPr>
      <cdr:spPr>
        <a:xfrm xmlns:a="http://schemas.openxmlformats.org/drawingml/2006/main" rot="16200000">
          <a:off x="348642" y="1694557"/>
          <a:ext cx="1230615" cy="5678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Zone </a:t>
          </a:r>
          <a:r>
            <a:rPr lang="en-US" sz="1100" b="1" baseline="0"/>
            <a:t> I , </a:t>
          </a:r>
        </a:p>
        <a:p xmlns:a="http://schemas.openxmlformats.org/drawingml/2006/main">
          <a:r>
            <a:rPr lang="en-US" sz="1100" b="1" baseline="0"/>
            <a:t>Gab Graded</a:t>
          </a:r>
          <a:endParaRPr lang="en-US" sz="1100" b="1"/>
        </a:p>
      </cdr:txBody>
    </cdr:sp>
  </cdr:relSizeAnchor>
  <cdr:relSizeAnchor xmlns:cdr="http://schemas.openxmlformats.org/drawingml/2006/chartDrawing">
    <cdr:from>
      <cdr:x>0.672</cdr:x>
      <cdr:y>0.24978</cdr:y>
    </cdr:from>
    <cdr:to>
      <cdr:x>0.85108</cdr:x>
      <cdr:y>0.43392</cdr:y>
    </cdr:to>
    <cdr:sp macro="" textlink="">
      <cdr:nvSpPr>
        <cdr:cNvPr id="57" name="TextBox 56"/>
        <cdr:cNvSpPr txBox="1"/>
      </cdr:nvSpPr>
      <cdr:spPr>
        <a:xfrm xmlns:a="http://schemas.openxmlformats.org/drawingml/2006/main">
          <a:off x="4090101" y="951662"/>
          <a:ext cx="1089966" cy="70157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Zone III,</a:t>
          </a:r>
        </a:p>
        <a:p xmlns:a="http://schemas.openxmlformats.org/drawingml/2006/main">
          <a:r>
            <a:rPr lang="en-US" sz="1100" b="1"/>
            <a:t>Well</a:t>
          </a:r>
          <a:r>
            <a:rPr lang="en-US" sz="1100" b="1" baseline="0"/>
            <a:t> graded,</a:t>
          </a:r>
        </a:p>
        <a:p xmlns:a="http://schemas.openxmlformats.org/drawingml/2006/main">
          <a:r>
            <a:rPr lang="en-US" sz="1100" b="1" baseline="0"/>
            <a:t>3/4" and finer</a:t>
          </a:r>
          <a:endParaRPr lang="en-US" sz="1100" b="1"/>
        </a:p>
      </cdr:txBody>
    </cdr:sp>
  </cdr:relSizeAnchor>
  <cdr:relSizeAnchor xmlns:cdr="http://schemas.openxmlformats.org/drawingml/2006/chartDrawing">
    <cdr:from>
      <cdr:x>0.18949</cdr:x>
      <cdr:y>0.16443</cdr:y>
    </cdr:from>
    <cdr:to>
      <cdr:x>0.35994</cdr:x>
      <cdr:y>0.2625</cdr:y>
    </cdr:to>
    <cdr:sp macro="" textlink="">
      <cdr:nvSpPr>
        <cdr:cNvPr id="58" name="TextBox 57"/>
        <cdr:cNvSpPr txBox="1"/>
      </cdr:nvSpPr>
      <cdr:spPr>
        <a:xfrm xmlns:a="http://schemas.openxmlformats.org/drawingml/2006/main">
          <a:off x="1153307" y="626478"/>
          <a:ext cx="1037444" cy="37364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Zone IV, sticky</a:t>
          </a:r>
        </a:p>
        <a:p xmlns:a="http://schemas.openxmlformats.org/drawingml/2006/main">
          <a:endParaRPr lang="en-US" sz="1100"/>
        </a:p>
      </cdr:txBody>
    </cdr:sp>
  </cdr:relSizeAnchor>
  <cdr:relSizeAnchor xmlns:cdr="http://schemas.openxmlformats.org/drawingml/2006/chartDrawing">
    <cdr:from>
      <cdr:x>0.61407</cdr:x>
      <cdr:y>0.68805</cdr:y>
    </cdr:from>
    <cdr:to>
      <cdr:x>0.79137</cdr:x>
      <cdr:y>0.81337</cdr:y>
    </cdr:to>
    <cdr:sp macro="" textlink="">
      <cdr:nvSpPr>
        <cdr:cNvPr id="64" name="TextBox 63"/>
        <cdr:cNvSpPr txBox="1"/>
      </cdr:nvSpPr>
      <cdr:spPr>
        <a:xfrm xmlns:a="http://schemas.openxmlformats.org/drawingml/2006/main">
          <a:off x="4187925" y="2837723"/>
          <a:ext cx="1209169" cy="5168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u="sng"/>
            <a:t>Workability</a:t>
          </a:r>
        </a:p>
        <a:p xmlns:a="http://schemas.openxmlformats.org/drawingml/2006/main">
          <a:r>
            <a:rPr lang="en-US" sz="1100" u="sng"/>
            <a:t>Box</a:t>
          </a:r>
        </a:p>
      </cdr:txBody>
    </cdr:sp>
  </cdr:relSizeAnchor>
  <cdr:relSizeAnchor xmlns:cdr="http://schemas.openxmlformats.org/drawingml/2006/chartDrawing">
    <cdr:from>
      <cdr:x>0.51169</cdr:x>
      <cdr:y>0.48152</cdr:y>
    </cdr:from>
    <cdr:to>
      <cdr:x>0.64315</cdr:x>
      <cdr:y>0.70652</cdr:y>
    </cdr:to>
    <cdr:sp macro="" textlink="">
      <cdr:nvSpPr>
        <cdr:cNvPr id="19" name="Curved Connector 18"/>
        <cdr:cNvSpPr/>
      </cdr:nvSpPr>
      <cdr:spPr>
        <a:xfrm xmlns:a="http://schemas.openxmlformats.org/drawingml/2006/main" rot="16200000" flipV="1">
          <a:off x="3473932" y="2001677"/>
          <a:ext cx="927972" cy="896544"/>
        </a:xfrm>
        <a:prstGeom xmlns:a="http://schemas.openxmlformats.org/drawingml/2006/main" prst="curvedConnector3">
          <a:avLst>
            <a:gd name="adj1" fmla="val 50000"/>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14.xml><?xml version="1.0" encoding="utf-8"?>
<c:userShapes xmlns:c="http://schemas.openxmlformats.org/drawingml/2006/chart">
  <cdr:relSizeAnchor xmlns:cdr="http://schemas.openxmlformats.org/drawingml/2006/chartDrawing">
    <cdr:from>
      <cdr:x>0.39403</cdr:x>
      <cdr:y>0.64893</cdr:y>
    </cdr:from>
    <cdr:to>
      <cdr:x>0.57747</cdr:x>
      <cdr:y>0.7325</cdr:y>
    </cdr:to>
    <cdr:sp macro="" textlink="">
      <cdr:nvSpPr>
        <cdr:cNvPr id="53" name="TextBox 52"/>
        <cdr:cNvSpPr txBox="1"/>
      </cdr:nvSpPr>
      <cdr:spPr>
        <a:xfrm xmlns:a="http://schemas.openxmlformats.org/drawingml/2006/main">
          <a:off x="2398254" y="2472423"/>
          <a:ext cx="1116503" cy="31840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Zone</a:t>
          </a:r>
          <a:r>
            <a:rPr lang="en-US" sz="1100" b="1" baseline="0"/>
            <a:t> V , Rocky</a:t>
          </a:r>
          <a:endParaRPr lang="en-US" sz="1100" b="1"/>
        </a:p>
      </cdr:txBody>
    </cdr:sp>
  </cdr:relSizeAnchor>
  <cdr:relSizeAnchor xmlns:cdr="http://schemas.openxmlformats.org/drawingml/2006/chartDrawing">
    <cdr:from>
      <cdr:x>0.49645</cdr:x>
      <cdr:y>0.66752</cdr:y>
    </cdr:from>
    <cdr:to>
      <cdr:x>0.74291</cdr:x>
      <cdr:y>0.77238</cdr:y>
    </cdr:to>
    <cdr:sp macro="" textlink="">
      <cdr:nvSpPr>
        <cdr:cNvPr id="54" name="TextBox 53"/>
        <cdr:cNvSpPr txBox="1"/>
      </cdr:nvSpPr>
      <cdr:spPr>
        <a:xfrm xmlns:a="http://schemas.openxmlformats.org/drawingml/2006/main">
          <a:off x="2667001" y="2486023"/>
          <a:ext cx="1323975" cy="390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0.35266</cdr:x>
      <cdr:y>0.25877</cdr:y>
    </cdr:from>
    <cdr:to>
      <cdr:x>0.52288</cdr:x>
      <cdr:y>0.38921</cdr:y>
    </cdr:to>
    <cdr:sp macro="" textlink="">
      <cdr:nvSpPr>
        <cdr:cNvPr id="55" name="TextBox 54"/>
        <cdr:cNvSpPr txBox="1"/>
      </cdr:nvSpPr>
      <cdr:spPr>
        <a:xfrm xmlns:a="http://schemas.openxmlformats.org/drawingml/2006/main" rot="20980170">
          <a:off x="2405098" y="1067268"/>
          <a:ext cx="1160883" cy="5379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Zone</a:t>
          </a:r>
          <a:r>
            <a:rPr lang="en-US" sz="1100" baseline="0"/>
            <a:t> II,well graded</a:t>
          </a:r>
        </a:p>
        <a:p xmlns:a="http://schemas.openxmlformats.org/drawingml/2006/main">
          <a:r>
            <a:rPr lang="en-US" sz="1100" baseline="0"/>
            <a:t>1.5" to 3/4"</a:t>
          </a:r>
          <a:endParaRPr lang="en-US" sz="1100"/>
        </a:p>
      </cdr:txBody>
    </cdr:sp>
  </cdr:relSizeAnchor>
  <cdr:relSizeAnchor xmlns:cdr="http://schemas.openxmlformats.org/drawingml/2006/chartDrawing">
    <cdr:from>
      <cdr:x>0.09971</cdr:x>
      <cdr:y>0.33053</cdr:y>
    </cdr:from>
    <cdr:to>
      <cdr:x>0.18298</cdr:x>
      <cdr:y>0.62891</cdr:y>
    </cdr:to>
    <cdr:sp macro="" textlink="">
      <cdr:nvSpPr>
        <cdr:cNvPr id="56" name="TextBox 55"/>
        <cdr:cNvSpPr txBox="1"/>
      </cdr:nvSpPr>
      <cdr:spPr>
        <a:xfrm xmlns:a="http://schemas.openxmlformats.org/drawingml/2006/main" rot="16200000">
          <a:off x="348642" y="1694557"/>
          <a:ext cx="1230615" cy="5678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Zone </a:t>
          </a:r>
          <a:r>
            <a:rPr lang="en-US" sz="1100" b="1" baseline="0"/>
            <a:t> I , </a:t>
          </a:r>
        </a:p>
        <a:p xmlns:a="http://schemas.openxmlformats.org/drawingml/2006/main">
          <a:r>
            <a:rPr lang="en-US" sz="1100" b="1" baseline="0"/>
            <a:t>Gab Graded</a:t>
          </a:r>
          <a:endParaRPr lang="en-US" sz="1100" b="1"/>
        </a:p>
      </cdr:txBody>
    </cdr:sp>
  </cdr:relSizeAnchor>
  <cdr:relSizeAnchor xmlns:cdr="http://schemas.openxmlformats.org/drawingml/2006/chartDrawing">
    <cdr:from>
      <cdr:x>0.672</cdr:x>
      <cdr:y>0.24978</cdr:y>
    </cdr:from>
    <cdr:to>
      <cdr:x>0.85108</cdr:x>
      <cdr:y>0.43392</cdr:y>
    </cdr:to>
    <cdr:sp macro="" textlink="">
      <cdr:nvSpPr>
        <cdr:cNvPr id="57" name="TextBox 56"/>
        <cdr:cNvSpPr txBox="1"/>
      </cdr:nvSpPr>
      <cdr:spPr>
        <a:xfrm xmlns:a="http://schemas.openxmlformats.org/drawingml/2006/main">
          <a:off x="4090101" y="951662"/>
          <a:ext cx="1089966" cy="70157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Zone III,</a:t>
          </a:r>
        </a:p>
        <a:p xmlns:a="http://schemas.openxmlformats.org/drawingml/2006/main">
          <a:r>
            <a:rPr lang="en-US" sz="1100" b="1"/>
            <a:t>Well</a:t>
          </a:r>
          <a:r>
            <a:rPr lang="en-US" sz="1100" b="1" baseline="0"/>
            <a:t> graded,</a:t>
          </a:r>
        </a:p>
        <a:p xmlns:a="http://schemas.openxmlformats.org/drawingml/2006/main">
          <a:r>
            <a:rPr lang="en-US" sz="1100" b="1" baseline="0"/>
            <a:t>3/4" and finer</a:t>
          </a:r>
          <a:endParaRPr lang="en-US" sz="1100" b="1"/>
        </a:p>
      </cdr:txBody>
    </cdr:sp>
  </cdr:relSizeAnchor>
  <cdr:relSizeAnchor xmlns:cdr="http://schemas.openxmlformats.org/drawingml/2006/chartDrawing">
    <cdr:from>
      <cdr:x>0.18949</cdr:x>
      <cdr:y>0.16443</cdr:y>
    </cdr:from>
    <cdr:to>
      <cdr:x>0.35994</cdr:x>
      <cdr:y>0.2625</cdr:y>
    </cdr:to>
    <cdr:sp macro="" textlink="">
      <cdr:nvSpPr>
        <cdr:cNvPr id="58" name="TextBox 57"/>
        <cdr:cNvSpPr txBox="1"/>
      </cdr:nvSpPr>
      <cdr:spPr>
        <a:xfrm xmlns:a="http://schemas.openxmlformats.org/drawingml/2006/main">
          <a:off x="1153307" y="626478"/>
          <a:ext cx="1037444" cy="37364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Zone IV, sticky</a:t>
          </a:r>
        </a:p>
        <a:p xmlns:a="http://schemas.openxmlformats.org/drawingml/2006/main">
          <a:endParaRPr lang="en-US" sz="1100"/>
        </a:p>
      </cdr:txBody>
    </cdr:sp>
  </cdr:relSizeAnchor>
  <cdr:relSizeAnchor xmlns:cdr="http://schemas.openxmlformats.org/drawingml/2006/chartDrawing">
    <cdr:from>
      <cdr:x>0.61407</cdr:x>
      <cdr:y>0.68805</cdr:y>
    </cdr:from>
    <cdr:to>
      <cdr:x>0.79137</cdr:x>
      <cdr:y>0.81337</cdr:y>
    </cdr:to>
    <cdr:sp macro="" textlink="">
      <cdr:nvSpPr>
        <cdr:cNvPr id="64" name="TextBox 63"/>
        <cdr:cNvSpPr txBox="1"/>
      </cdr:nvSpPr>
      <cdr:spPr>
        <a:xfrm xmlns:a="http://schemas.openxmlformats.org/drawingml/2006/main">
          <a:off x="4187925" y="2837723"/>
          <a:ext cx="1209169" cy="5168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u="sng"/>
            <a:t>Workability</a:t>
          </a:r>
        </a:p>
        <a:p xmlns:a="http://schemas.openxmlformats.org/drawingml/2006/main">
          <a:r>
            <a:rPr lang="en-US" sz="1100" u="sng"/>
            <a:t>Box</a:t>
          </a:r>
        </a:p>
      </cdr:txBody>
    </cdr:sp>
  </cdr:relSizeAnchor>
  <cdr:relSizeAnchor xmlns:cdr="http://schemas.openxmlformats.org/drawingml/2006/chartDrawing">
    <cdr:from>
      <cdr:x>0.51169</cdr:x>
      <cdr:y>0.48152</cdr:y>
    </cdr:from>
    <cdr:to>
      <cdr:x>0.64315</cdr:x>
      <cdr:y>0.70652</cdr:y>
    </cdr:to>
    <cdr:sp macro="" textlink="">
      <cdr:nvSpPr>
        <cdr:cNvPr id="19" name="Curved Connector 18"/>
        <cdr:cNvSpPr/>
      </cdr:nvSpPr>
      <cdr:spPr>
        <a:xfrm xmlns:a="http://schemas.openxmlformats.org/drawingml/2006/main" rot="16200000" flipV="1">
          <a:off x="3473932" y="2001677"/>
          <a:ext cx="927972" cy="896544"/>
        </a:xfrm>
        <a:prstGeom xmlns:a="http://schemas.openxmlformats.org/drawingml/2006/main" prst="curvedConnector3">
          <a:avLst>
            <a:gd name="adj1" fmla="val 50000"/>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15.xml><?xml version="1.0" encoding="utf-8"?>
<c:userShapes xmlns:c="http://schemas.openxmlformats.org/drawingml/2006/chart">
  <cdr:relSizeAnchor xmlns:cdr="http://schemas.openxmlformats.org/drawingml/2006/chartDrawing">
    <cdr:from>
      <cdr:x>0.39403</cdr:x>
      <cdr:y>0.64893</cdr:y>
    </cdr:from>
    <cdr:to>
      <cdr:x>0.57747</cdr:x>
      <cdr:y>0.7325</cdr:y>
    </cdr:to>
    <cdr:sp macro="" textlink="">
      <cdr:nvSpPr>
        <cdr:cNvPr id="53" name="TextBox 52"/>
        <cdr:cNvSpPr txBox="1"/>
      </cdr:nvSpPr>
      <cdr:spPr>
        <a:xfrm xmlns:a="http://schemas.openxmlformats.org/drawingml/2006/main">
          <a:off x="2398254" y="2472423"/>
          <a:ext cx="1116503" cy="31840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Zone</a:t>
          </a:r>
          <a:r>
            <a:rPr lang="en-US" sz="1100" b="1" baseline="0"/>
            <a:t> V , Rocky</a:t>
          </a:r>
          <a:endParaRPr lang="en-US" sz="1100" b="1"/>
        </a:p>
      </cdr:txBody>
    </cdr:sp>
  </cdr:relSizeAnchor>
  <cdr:relSizeAnchor xmlns:cdr="http://schemas.openxmlformats.org/drawingml/2006/chartDrawing">
    <cdr:from>
      <cdr:x>0.49645</cdr:x>
      <cdr:y>0.66752</cdr:y>
    </cdr:from>
    <cdr:to>
      <cdr:x>0.74291</cdr:x>
      <cdr:y>0.77238</cdr:y>
    </cdr:to>
    <cdr:sp macro="" textlink="">
      <cdr:nvSpPr>
        <cdr:cNvPr id="54" name="TextBox 53"/>
        <cdr:cNvSpPr txBox="1"/>
      </cdr:nvSpPr>
      <cdr:spPr>
        <a:xfrm xmlns:a="http://schemas.openxmlformats.org/drawingml/2006/main">
          <a:off x="2667001" y="2486023"/>
          <a:ext cx="1323975" cy="390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0.35266</cdr:x>
      <cdr:y>0.25877</cdr:y>
    </cdr:from>
    <cdr:to>
      <cdr:x>0.52288</cdr:x>
      <cdr:y>0.38921</cdr:y>
    </cdr:to>
    <cdr:sp macro="" textlink="">
      <cdr:nvSpPr>
        <cdr:cNvPr id="55" name="TextBox 54"/>
        <cdr:cNvSpPr txBox="1"/>
      </cdr:nvSpPr>
      <cdr:spPr>
        <a:xfrm xmlns:a="http://schemas.openxmlformats.org/drawingml/2006/main" rot="20980170">
          <a:off x="2405098" y="1067268"/>
          <a:ext cx="1160883" cy="5379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Zone</a:t>
          </a:r>
          <a:r>
            <a:rPr lang="en-US" sz="1100" baseline="0"/>
            <a:t> II,well graded</a:t>
          </a:r>
        </a:p>
        <a:p xmlns:a="http://schemas.openxmlformats.org/drawingml/2006/main">
          <a:r>
            <a:rPr lang="en-US" sz="1100" baseline="0"/>
            <a:t>1.5" to 3/4"</a:t>
          </a:r>
          <a:endParaRPr lang="en-US" sz="1100"/>
        </a:p>
      </cdr:txBody>
    </cdr:sp>
  </cdr:relSizeAnchor>
  <cdr:relSizeAnchor xmlns:cdr="http://schemas.openxmlformats.org/drawingml/2006/chartDrawing">
    <cdr:from>
      <cdr:x>0.09971</cdr:x>
      <cdr:y>0.33053</cdr:y>
    </cdr:from>
    <cdr:to>
      <cdr:x>0.18298</cdr:x>
      <cdr:y>0.62891</cdr:y>
    </cdr:to>
    <cdr:sp macro="" textlink="">
      <cdr:nvSpPr>
        <cdr:cNvPr id="56" name="TextBox 55"/>
        <cdr:cNvSpPr txBox="1"/>
      </cdr:nvSpPr>
      <cdr:spPr>
        <a:xfrm xmlns:a="http://schemas.openxmlformats.org/drawingml/2006/main" rot="16200000">
          <a:off x="348642" y="1694557"/>
          <a:ext cx="1230615" cy="5678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Zone </a:t>
          </a:r>
          <a:r>
            <a:rPr lang="en-US" sz="1100" b="1" baseline="0"/>
            <a:t> I , </a:t>
          </a:r>
        </a:p>
        <a:p xmlns:a="http://schemas.openxmlformats.org/drawingml/2006/main">
          <a:r>
            <a:rPr lang="en-US" sz="1100" b="1" baseline="0"/>
            <a:t>Gab Graded</a:t>
          </a:r>
          <a:endParaRPr lang="en-US" sz="1100" b="1"/>
        </a:p>
      </cdr:txBody>
    </cdr:sp>
  </cdr:relSizeAnchor>
  <cdr:relSizeAnchor xmlns:cdr="http://schemas.openxmlformats.org/drawingml/2006/chartDrawing">
    <cdr:from>
      <cdr:x>0.672</cdr:x>
      <cdr:y>0.24978</cdr:y>
    </cdr:from>
    <cdr:to>
      <cdr:x>0.85108</cdr:x>
      <cdr:y>0.43392</cdr:y>
    </cdr:to>
    <cdr:sp macro="" textlink="">
      <cdr:nvSpPr>
        <cdr:cNvPr id="57" name="TextBox 56"/>
        <cdr:cNvSpPr txBox="1"/>
      </cdr:nvSpPr>
      <cdr:spPr>
        <a:xfrm xmlns:a="http://schemas.openxmlformats.org/drawingml/2006/main">
          <a:off x="4090101" y="951662"/>
          <a:ext cx="1089966" cy="70157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Zone III,</a:t>
          </a:r>
        </a:p>
        <a:p xmlns:a="http://schemas.openxmlformats.org/drawingml/2006/main">
          <a:r>
            <a:rPr lang="en-US" sz="1100" b="1"/>
            <a:t>Well</a:t>
          </a:r>
          <a:r>
            <a:rPr lang="en-US" sz="1100" b="1" baseline="0"/>
            <a:t> graded,</a:t>
          </a:r>
        </a:p>
        <a:p xmlns:a="http://schemas.openxmlformats.org/drawingml/2006/main">
          <a:r>
            <a:rPr lang="en-US" sz="1100" b="1" baseline="0"/>
            <a:t>3/4" and finer</a:t>
          </a:r>
          <a:endParaRPr lang="en-US" sz="1100" b="1"/>
        </a:p>
      </cdr:txBody>
    </cdr:sp>
  </cdr:relSizeAnchor>
  <cdr:relSizeAnchor xmlns:cdr="http://schemas.openxmlformats.org/drawingml/2006/chartDrawing">
    <cdr:from>
      <cdr:x>0.18949</cdr:x>
      <cdr:y>0.16443</cdr:y>
    </cdr:from>
    <cdr:to>
      <cdr:x>0.35994</cdr:x>
      <cdr:y>0.2625</cdr:y>
    </cdr:to>
    <cdr:sp macro="" textlink="">
      <cdr:nvSpPr>
        <cdr:cNvPr id="58" name="TextBox 57"/>
        <cdr:cNvSpPr txBox="1"/>
      </cdr:nvSpPr>
      <cdr:spPr>
        <a:xfrm xmlns:a="http://schemas.openxmlformats.org/drawingml/2006/main">
          <a:off x="1153307" y="626478"/>
          <a:ext cx="1037444" cy="37364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Zone IV, sticky</a:t>
          </a:r>
        </a:p>
        <a:p xmlns:a="http://schemas.openxmlformats.org/drawingml/2006/main">
          <a:endParaRPr lang="en-US" sz="1100"/>
        </a:p>
      </cdr:txBody>
    </cdr:sp>
  </cdr:relSizeAnchor>
  <cdr:relSizeAnchor xmlns:cdr="http://schemas.openxmlformats.org/drawingml/2006/chartDrawing">
    <cdr:from>
      <cdr:x>0.61407</cdr:x>
      <cdr:y>0.68805</cdr:y>
    </cdr:from>
    <cdr:to>
      <cdr:x>0.79137</cdr:x>
      <cdr:y>0.81337</cdr:y>
    </cdr:to>
    <cdr:sp macro="" textlink="">
      <cdr:nvSpPr>
        <cdr:cNvPr id="64" name="TextBox 63"/>
        <cdr:cNvSpPr txBox="1"/>
      </cdr:nvSpPr>
      <cdr:spPr>
        <a:xfrm xmlns:a="http://schemas.openxmlformats.org/drawingml/2006/main">
          <a:off x="4187925" y="2837723"/>
          <a:ext cx="1209169" cy="5168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u="sng"/>
            <a:t>Workability</a:t>
          </a:r>
        </a:p>
        <a:p xmlns:a="http://schemas.openxmlformats.org/drawingml/2006/main">
          <a:r>
            <a:rPr lang="en-US" sz="1100" u="sng"/>
            <a:t>Box</a:t>
          </a:r>
        </a:p>
      </cdr:txBody>
    </cdr:sp>
  </cdr:relSizeAnchor>
  <cdr:relSizeAnchor xmlns:cdr="http://schemas.openxmlformats.org/drawingml/2006/chartDrawing">
    <cdr:from>
      <cdr:x>0.51169</cdr:x>
      <cdr:y>0.48152</cdr:y>
    </cdr:from>
    <cdr:to>
      <cdr:x>0.64315</cdr:x>
      <cdr:y>0.70652</cdr:y>
    </cdr:to>
    <cdr:sp macro="" textlink="">
      <cdr:nvSpPr>
        <cdr:cNvPr id="19" name="Curved Connector 18"/>
        <cdr:cNvSpPr/>
      </cdr:nvSpPr>
      <cdr:spPr>
        <a:xfrm xmlns:a="http://schemas.openxmlformats.org/drawingml/2006/main" rot="16200000" flipV="1">
          <a:off x="3473932" y="2001677"/>
          <a:ext cx="927972" cy="896544"/>
        </a:xfrm>
        <a:prstGeom xmlns:a="http://schemas.openxmlformats.org/drawingml/2006/main" prst="curvedConnector3">
          <a:avLst>
            <a:gd name="adj1" fmla="val 50000"/>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16.xml><?xml version="1.0" encoding="utf-8"?>
<c:userShapes xmlns:c="http://schemas.openxmlformats.org/drawingml/2006/chart">
  <cdr:relSizeAnchor xmlns:cdr="http://schemas.openxmlformats.org/drawingml/2006/chartDrawing">
    <cdr:from>
      <cdr:x>0.39403</cdr:x>
      <cdr:y>0.64893</cdr:y>
    </cdr:from>
    <cdr:to>
      <cdr:x>0.57747</cdr:x>
      <cdr:y>0.7325</cdr:y>
    </cdr:to>
    <cdr:sp macro="" textlink="">
      <cdr:nvSpPr>
        <cdr:cNvPr id="53" name="TextBox 52"/>
        <cdr:cNvSpPr txBox="1"/>
      </cdr:nvSpPr>
      <cdr:spPr>
        <a:xfrm xmlns:a="http://schemas.openxmlformats.org/drawingml/2006/main">
          <a:off x="2398254" y="2472423"/>
          <a:ext cx="1116503" cy="31840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Zone</a:t>
          </a:r>
          <a:r>
            <a:rPr lang="en-US" sz="1100" b="1" baseline="0"/>
            <a:t> V , Rocky</a:t>
          </a:r>
          <a:endParaRPr lang="en-US" sz="1100" b="1"/>
        </a:p>
      </cdr:txBody>
    </cdr:sp>
  </cdr:relSizeAnchor>
  <cdr:relSizeAnchor xmlns:cdr="http://schemas.openxmlformats.org/drawingml/2006/chartDrawing">
    <cdr:from>
      <cdr:x>0.49645</cdr:x>
      <cdr:y>0.66752</cdr:y>
    </cdr:from>
    <cdr:to>
      <cdr:x>0.74291</cdr:x>
      <cdr:y>0.77238</cdr:y>
    </cdr:to>
    <cdr:sp macro="" textlink="">
      <cdr:nvSpPr>
        <cdr:cNvPr id="54" name="TextBox 53"/>
        <cdr:cNvSpPr txBox="1"/>
      </cdr:nvSpPr>
      <cdr:spPr>
        <a:xfrm xmlns:a="http://schemas.openxmlformats.org/drawingml/2006/main">
          <a:off x="2667001" y="2486023"/>
          <a:ext cx="1323975" cy="390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0.35266</cdr:x>
      <cdr:y>0.25877</cdr:y>
    </cdr:from>
    <cdr:to>
      <cdr:x>0.52288</cdr:x>
      <cdr:y>0.38921</cdr:y>
    </cdr:to>
    <cdr:sp macro="" textlink="">
      <cdr:nvSpPr>
        <cdr:cNvPr id="55" name="TextBox 54"/>
        <cdr:cNvSpPr txBox="1"/>
      </cdr:nvSpPr>
      <cdr:spPr>
        <a:xfrm xmlns:a="http://schemas.openxmlformats.org/drawingml/2006/main" rot="20980170">
          <a:off x="2405098" y="1067268"/>
          <a:ext cx="1160883" cy="5379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Zone</a:t>
          </a:r>
          <a:r>
            <a:rPr lang="en-US" sz="1100" baseline="0"/>
            <a:t> II,well graded</a:t>
          </a:r>
        </a:p>
        <a:p xmlns:a="http://schemas.openxmlformats.org/drawingml/2006/main">
          <a:r>
            <a:rPr lang="en-US" sz="1100" baseline="0"/>
            <a:t>1.5" to 3/4"</a:t>
          </a:r>
          <a:endParaRPr lang="en-US" sz="1100"/>
        </a:p>
      </cdr:txBody>
    </cdr:sp>
  </cdr:relSizeAnchor>
  <cdr:relSizeAnchor xmlns:cdr="http://schemas.openxmlformats.org/drawingml/2006/chartDrawing">
    <cdr:from>
      <cdr:x>0.09971</cdr:x>
      <cdr:y>0.33053</cdr:y>
    </cdr:from>
    <cdr:to>
      <cdr:x>0.18298</cdr:x>
      <cdr:y>0.62891</cdr:y>
    </cdr:to>
    <cdr:sp macro="" textlink="">
      <cdr:nvSpPr>
        <cdr:cNvPr id="56" name="TextBox 55"/>
        <cdr:cNvSpPr txBox="1"/>
      </cdr:nvSpPr>
      <cdr:spPr>
        <a:xfrm xmlns:a="http://schemas.openxmlformats.org/drawingml/2006/main" rot="16200000">
          <a:off x="348642" y="1694557"/>
          <a:ext cx="1230615" cy="5678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Zone </a:t>
          </a:r>
          <a:r>
            <a:rPr lang="en-US" sz="1100" b="1" baseline="0"/>
            <a:t> I , </a:t>
          </a:r>
        </a:p>
        <a:p xmlns:a="http://schemas.openxmlformats.org/drawingml/2006/main">
          <a:r>
            <a:rPr lang="en-US" sz="1100" b="1" baseline="0"/>
            <a:t>Gab Graded</a:t>
          </a:r>
          <a:endParaRPr lang="en-US" sz="1100" b="1"/>
        </a:p>
      </cdr:txBody>
    </cdr:sp>
  </cdr:relSizeAnchor>
  <cdr:relSizeAnchor xmlns:cdr="http://schemas.openxmlformats.org/drawingml/2006/chartDrawing">
    <cdr:from>
      <cdr:x>0.672</cdr:x>
      <cdr:y>0.24978</cdr:y>
    </cdr:from>
    <cdr:to>
      <cdr:x>0.85108</cdr:x>
      <cdr:y>0.43392</cdr:y>
    </cdr:to>
    <cdr:sp macro="" textlink="">
      <cdr:nvSpPr>
        <cdr:cNvPr id="57" name="TextBox 56"/>
        <cdr:cNvSpPr txBox="1"/>
      </cdr:nvSpPr>
      <cdr:spPr>
        <a:xfrm xmlns:a="http://schemas.openxmlformats.org/drawingml/2006/main">
          <a:off x="4090101" y="951662"/>
          <a:ext cx="1089966" cy="70157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Zone III,</a:t>
          </a:r>
        </a:p>
        <a:p xmlns:a="http://schemas.openxmlformats.org/drawingml/2006/main">
          <a:r>
            <a:rPr lang="en-US" sz="1100" b="1"/>
            <a:t>Well</a:t>
          </a:r>
          <a:r>
            <a:rPr lang="en-US" sz="1100" b="1" baseline="0"/>
            <a:t> graded,</a:t>
          </a:r>
        </a:p>
        <a:p xmlns:a="http://schemas.openxmlformats.org/drawingml/2006/main">
          <a:r>
            <a:rPr lang="en-US" sz="1100" b="1" baseline="0"/>
            <a:t>3/4" and finer</a:t>
          </a:r>
          <a:endParaRPr lang="en-US" sz="1100" b="1"/>
        </a:p>
      </cdr:txBody>
    </cdr:sp>
  </cdr:relSizeAnchor>
  <cdr:relSizeAnchor xmlns:cdr="http://schemas.openxmlformats.org/drawingml/2006/chartDrawing">
    <cdr:from>
      <cdr:x>0.18949</cdr:x>
      <cdr:y>0.16443</cdr:y>
    </cdr:from>
    <cdr:to>
      <cdr:x>0.35994</cdr:x>
      <cdr:y>0.2625</cdr:y>
    </cdr:to>
    <cdr:sp macro="" textlink="">
      <cdr:nvSpPr>
        <cdr:cNvPr id="58" name="TextBox 57"/>
        <cdr:cNvSpPr txBox="1"/>
      </cdr:nvSpPr>
      <cdr:spPr>
        <a:xfrm xmlns:a="http://schemas.openxmlformats.org/drawingml/2006/main">
          <a:off x="1153307" y="626478"/>
          <a:ext cx="1037444" cy="37364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Zone IV, sticky</a:t>
          </a:r>
        </a:p>
        <a:p xmlns:a="http://schemas.openxmlformats.org/drawingml/2006/main">
          <a:endParaRPr lang="en-US" sz="1100"/>
        </a:p>
      </cdr:txBody>
    </cdr:sp>
  </cdr:relSizeAnchor>
  <cdr:relSizeAnchor xmlns:cdr="http://schemas.openxmlformats.org/drawingml/2006/chartDrawing">
    <cdr:from>
      <cdr:x>0.61407</cdr:x>
      <cdr:y>0.68805</cdr:y>
    </cdr:from>
    <cdr:to>
      <cdr:x>0.79137</cdr:x>
      <cdr:y>0.81337</cdr:y>
    </cdr:to>
    <cdr:sp macro="" textlink="">
      <cdr:nvSpPr>
        <cdr:cNvPr id="64" name="TextBox 63"/>
        <cdr:cNvSpPr txBox="1"/>
      </cdr:nvSpPr>
      <cdr:spPr>
        <a:xfrm xmlns:a="http://schemas.openxmlformats.org/drawingml/2006/main">
          <a:off x="4187925" y="2837723"/>
          <a:ext cx="1209169" cy="5168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u="sng"/>
            <a:t>Workability</a:t>
          </a:r>
        </a:p>
        <a:p xmlns:a="http://schemas.openxmlformats.org/drawingml/2006/main">
          <a:r>
            <a:rPr lang="en-US" sz="1100" u="sng"/>
            <a:t>Box</a:t>
          </a:r>
        </a:p>
      </cdr:txBody>
    </cdr:sp>
  </cdr:relSizeAnchor>
  <cdr:relSizeAnchor xmlns:cdr="http://schemas.openxmlformats.org/drawingml/2006/chartDrawing">
    <cdr:from>
      <cdr:x>0.51169</cdr:x>
      <cdr:y>0.48152</cdr:y>
    </cdr:from>
    <cdr:to>
      <cdr:x>0.64315</cdr:x>
      <cdr:y>0.70652</cdr:y>
    </cdr:to>
    <cdr:sp macro="" textlink="">
      <cdr:nvSpPr>
        <cdr:cNvPr id="19" name="Curved Connector 18"/>
        <cdr:cNvSpPr/>
      </cdr:nvSpPr>
      <cdr:spPr>
        <a:xfrm xmlns:a="http://schemas.openxmlformats.org/drawingml/2006/main" rot="16200000" flipV="1">
          <a:off x="3473932" y="2001677"/>
          <a:ext cx="927972" cy="896544"/>
        </a:xfrm>
        <a:prstGeom xmlns:a="http://schemas.openxmlformats.org/drawingml/2006/main" prst="curvedConnector3">
          <a:avLst>
            <a:gd name="adj1" fmla="val 50000"/>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17.xml><?xml version="1.0" encoding="utf-8"?>
<c:userShapes xmlns:c="http://schemas.openxmlformats.org/drawingml/2006/chart">
  <cdr:relSizeAnchor xmlns:cdr="http://schemas.openxmlformats.org/drawingml/2006/chartDrawing">
    <cdr:from>
      <cdr:x>0.8</cdr:x>
      <cdr:y>0.18576</cdr:y>
    </cdr:from>
    <cdr:to>
      <cdr:x>1</cdr:x>
      <cdr:y>0.5191</cdr:y>
    </cdr:to>
    <cdr:sp macro="" textlink="">
      <cdr:nvSpPr>
        <cdr:cNvPr id="6" name="TextBox 5"/>
        <cdr:cNvSpPr txBox="1"/>
      </cdr:nvSpPr>
      <cdr:spPr>
        <a:xfrm xmlns:a="http://schemas.openxmlformats.org/drawingml/2006/main">
          <a:off x="3943350" y="5095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0.13167</cdr:x>
      <cdr:y>0.84375</cdr:y>
    </cdr:from>
    <cdr:to>
      <cdr:x>0.19208</cdr:x>
      <cdr:y>1</cdr:y>
    </cdr:to>
    <cdr:sp macro="" textlink="">
      <cdr:nvSpPr>
        <cdr:cNvPr id="7" name="TextBox 6"/>
        <cdr:cNvSpPr txBox="1"/>
      </cdr:nvSpPr>
      <cdr:spPr>
        <a:xfrm xmlns:a="http://schemas.openxmlformats.org/drawingml/2006/main" rot="16200000">
          <a:off x="855018" y="3340472"/>
          <a:ext cx="602754" cy="43155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#200</a:t>
          </a:r>
        </a:p>
      </cdr:txBody>
    </cdr:sp>
  </cdr:relSizeAnchor>
  <cdr:relSizeAnchor xmlns:cdr="http://schemas.openxmlformats.org/drawingml/2006/chartDrawing">
    <cdr:from>
      <cdr:x>0.1802</cdr:x>
      <cdr:y>0.87901</cdr:y>
    </cdr:from>
    <cdr:to>
      <cdr:x>0.21733</cdr:x>
      <cdr:y>1</cdr:y>
    </cdr:to>
    <cdr:sp macro="" textlink="">
      <cdr:nvSpPr>
        <cdr:cNvPr id="8" name="TextBox 7"/>
        <cdr:cNvSpPr txBox="1"/>
      </cdr:nvSpPr>
      <cdr:spPr>
        <a:xfrm xmlns:a="http://schemas.openxmlformats.org/drawingml/2006/main" rot="16200000">
          <a:off x="1186577" y="3491627"/>
          <a:ext cx="466726" cy="26527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#100</a:t>
          </a:r>
        </a:p>
      </cdr:txBody>
    </cdr:sp>
  </cdr:relSizeAnchor>
  <cdr:relSizeAnchor xmlns:cdr="http://schemas.openxmlformats.org/drawingml/2006/chartDrawing">
    <cdr:from>
      <cdr:x>0.23941</cdr:x>
      <cdr:y>0.82986</cdr:y>
    </cdr:from>
    <cdr:to>
      <cdr:x>0.29358</cdr:x>
      <cdr:y>1</cdr:y>
    </cdr:to>
    <cdr:sp macro="" textlink="">
      <cdr:nvSpPr>
        <cdr:cNvPr id="9" name="TextBox 8"/>
        <cdr:cNvSpPr txBox="1"/>
      </cdr:nvSpPr>
      <cdr:spPr>
        <a:xfrm xmlns:a="http://schemas.openxmlformats.org/drawingml/2006/main" rot="16200000">
          <a:off x="1575606" y="3335969"/>
          <a:ext cx="656336" cy="3869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#50</a:t>
          </a:r>
        </a:p>
      </cdr:txBody>
    </cdr:sp>
  </cdr:relSizeAnchor>
  <cdr:relSizeAnchor xmlns:cdr="http://schemas.openxmlformats.org/drawingml/2006/chartDrawing">
    <cdr:from>
      <cdr:x>0.2925</cdr:x>
      <cdr:y>0.84375</cdr:y>
    </cdr:from>
    <cdr:to>
      <cdr:x>0.35709</cdr:x>
      <cdr:y>1</cdr:y>
    </cdr:to>
    <cdr:sp macro="" textlink="">
      <cdr:nvSpPr>
        <cdr:cNvPr id="10" name="TextBox 9"/>
        <cdr:cNvSpPr txBox="1"/>
      </cdr:nvSpPr>
      <cdr:spPr>
        <a:xfrm xmlns:a="http://schemas.openxmlformats.org/drawingml/2006/main" rot="16200000">
          <a:off x="2018878" y="3325541"/>
          <a:ext cx="602754" cy="4614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#30</a:t>
          </a:r>
        </a:p>
      </cdr:txBody>
    </cdr:sp>
  </cdr:relSizeAnchor>
  <cdr:relSizeAnchor xmlns:cdr="http://schemas.openxmlformats.org/drawingml/2006/chartDrawing">
    <cdr:from>
      <cdr:x>0.34604</cdr:x>
      <cdr:y>0.81424</cdr:y>
    </cdr:from>
    <cdr:to>
      <cdr:x>0.41062</cdr:x>
      <cdr:y>1</cdr:y>
    </cdr:to>
    <cdr:sp macro="" textlink="">
      <cdr:nvSpPr>
        <cdr:cNvPr id="11" name="TextBox 10"/>
        <cdr:cNvSpPr txBox="1"/>
      </cdr:nvSpPr>
      <cdr:spPr>
        <a:xfrm xmlns:a="http://schemas.openxmlformats.org/drawingml/2006/main" rot="16200000">
          <a:off x="2344422" y="3268657"/>
          <a:ext cx="716593" cy="46134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#16</a:t>
          </a:r>
        </a:p>
      </cdr:txBody>
    </cdr:sp>
  </cdr:relSizeAnchor>
  <cdr:relSizeAnchor xmlns:cdr="http://schemas.openxmlformats.org/drawingml/2006/chartDrawing">
    <cdr:from>
      <cdr:x>0.39596</cdr:x>
      <cdr:y>0.84722</cdr:y>
    </cdr:from>
    <cdr:to>
      <cdr:x>0.46054</cdr:x>
      <cdr:y>1</cdr:y>
    </cdr:to>
    <cdr:sp macro="" textlink="">
      <cdr:nvSpPr>
        <cdr:cNvPr id="12" name="TextBox 11"/>
        <cdr:cNvSpPr txBox="1"/>
      </cdr:nvSpPr>
      <cdr:spPr>
        <a:xfrm xmlns:a="http://schemas.openxmlformats.org/drawingml/2006/main" rot="16200000">
          <a:off x="2764604" y="3332270"/>
          <a:ext cx="589368" cy="4613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#8</a:t>
          </a:r>
        </a:p>
      </cdr:txBody>
    </cdr:sp>
  </cdr:relSizeAnchor>
  <cdr:relSizeAnchor xmlns:cdr="http://schemas.openxmlformats.org/drawingml/2006/chartDrawing">
    <cdr:from>
      <cdr:x>0.44938</cdr:x>
      <cdr:y>0.86358</cdr:y>
    </cdr:from>
    <cdr:to>
      <cdr:x>0.54104</cdr:x>
      <cdr:y>0.999</cdr:y>
    </cdr:to>
    <cdr:sp macro="" textlink="">
      <cdr:nvSpPr>
        <cdr:cNvPr id="13" name="TextBox 12"/>
        <cdr:cNvSpPr txBox="1"/>
      </cdr:nvSpPr>
      <cdr:spPr>
        <a:xfrm xmlns:a="http://schemas.openxmlformats.org/drawingml/2006/main" rot="16200000">
          <a:off x="3276457" y="3265167"/>
          <a:ext cx="522400" cy="6547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#4</a:t>
          </a:r>
        </a:p>
      </cdr:txBody>
    </cdr:sp>
  </cdr:relSizeAnchor>
  <cdr:relSizeAnchor xmlns:cdr="http://schemas.openxmlformats.org/drawingml/2006/chartDrawing">
    <cdr:from>
      <cdr:x>0.49775</cdr:x>
      <cdr:y>0.85764</cdr:y>
    </cdr:from>
    <cdr:to>
      <cdr:x>0.58316</cdr:x>
      <cdr:y>1</cdr:y>
    </cdr:to>
    <cdr:sp macro="" textlink="">
      <cdr:nvSpPr>
        <cdr:cNvPr id="14" name="TextBox 13"/>
        <cdr:cNvSpPr txBox="1"/>
      </cdr:nvSpPr>
      <cdr:spPr>
        <a:xfrm xmlns:a="http://schemas.openxmlformats.org/drawingml/2006/main" rot="16200000">
          <a:off x="3586314" y="3277966"/>
          <a:ext cx="549172" cy="61014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3/8</a:t>
          </a:r>
        </a:p>
      </cdr:txBody>
    </cdr:sp>
  </cdr:relSizeAnchor>
  <cdr:relSizeAnchor xmlns:cdr="http://schemas.openxmlformats.org/drawingml/2006/chartDrawing">
    <cdr:from>
      <cdr:x>0.54996</cdr:x>
      <cdr:y>0.88194</cdr:y>
    </cdr:from>
    <cdr:to>
      <cdr:x>0.6208</cdr:x>
      <cdr:y>0.99653</cdr:y>
    </cdr:to>
    <cdr:sp macro="" textlink="">
      <cdr:nvSpPr>
        <cdr:cNvPr id="15" name="TextBox 14"/>
        <cdr:cNvSpPr txBox="1"/>
      </cdr:nvSpPr>
      <cdr:spPr>
        <a:xfrm xmlns:a="http://schemas.openxmlformats.org/drawingml/2006/main" rot="16200000">
          <a:off x="3960762" y="3370186"/>
          <a:ext cx="442045" cy="5060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1/2</a:t>
          </a:r>
        </a:p>
      </cdr:txBody>
    </cdr:sp>
  </cdr:relSizeAnchor>
  <cdr:relSizeAnchor xmlns:cdr="http://schemas.openxmlformats.org/drawingml/2006/chartDrawing">
    <cdr:from>
      <cdr:x>0.59554</cdr:x>
      <cdr:y>0.89383</cdr:y>
    </cdr:from>
    <cdr:to>
      <cdr:x>0.63067</cdr:x>
      <cdr:y>0.99753</cdr:y>
    </cdr:to>
    <cdr:sp macro="" textlink="">
      <cdr:nvSpPr>
        <cdr:cNvPr id="16" name="TextBox 15"/>
        <cdr:cNvSpPr txBox="1"/>
      </cdr:nvSpPr>
      <cdr:spPr>
        <a:xfrm xmlns:a="http://schemas.openxmlformats.org/drawingml/2006/main" rot="16200000">
          <a:off x="4179821" y="3522595"/>
          <a:ext cx="400051" cy="2509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3/4</a:t>
          </a:r>
        </a:p>
      </cdr:txBody>
    </cdr:sp>
  </cdr:relSizeAnchor>
  <cdr:relSizeAnchor xmlns:cdr="http://schemas.openxmlformats.org/drawingml/2006/chartDrawing">
    <cdr:from>
      <cdr:x>0.64683</cdr:x>
      <cdr:y>0.89877</cdr:y>
    </cdr:from>
    <cdr:to>
      <cdr:x>0.67733</cdr:x>
      <cdr:y>0.99753</cdr:y>
    </cdr:to>
    <cdr:sp macro="" textlink="">
      <cdr:nvSpPr>
        <cdr:cNvPr id="17" name="TextBox 16"/>
        <cdr:cNvSpPr txBox="1"/>
      </cdr:nvSpPr>
      <cdr:spPr>
        <a:xfrm xmlns:a="http://schemas.openxmlformats.org/drawingml/2006/main" rot="16200000">
          <a:off x="4539260" y="3548656"/>
          <a:ext cx="380998" cy="2178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1in</a:t>
          </a:r>
        </a:p>
      </cdr:txBody>
    </cdr:sp>
  </cdr:relSizeAnchor>
  <cdr:relSizeAnchor xmlns:cdr="http://schemas.openxmlformats.org/drawingml/2006/chartDrawing">
    <cdr:from>
      <cdr:x>0.69655</cdr:x>
      <cdr:y>0.85679</cdr:y>
    </cdr:from>
    <cdr:to>
      <cdr:x>0.72933</cdr:x>
      <cdr:y>0.99012</cdr:y>
    </cdr:to>
    <cdr:sp macro="" textlink="">
      <cdr:nvSpPr>
        <cdr:cNvPr id="18" name="TextBox 17"/>
        <cdr:cNvSpPr txBox="1"/>
      </cdr:nvSpPr>
      <cdr:spPr>
        <a:xfrm xmlns:a="http://schemas.openxmlformats.org/drawingml/2006/main" rot="16200000">
          <a:off x="4835890" y="3445241"/>
          <a:ext cx="514351" cy="234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 1/2</a:t>
          </a:r>
        </a:p>
      </cdr:txBody>
    </cdr:sp>
  </cdr:relSizeAnchor>
  <cdr:relSizeAnchor xmlns:cdr="http://schemas.openxmlformats.org/drawingml/2006/chartDrawing">
    <cdr:from>
      <cdr:x>0.82908</cdr:x>
      <cdr:y>0.90896</cdr:y>
    </cdr:from>
    <cdr:to>
      <cdr:x>0.98232</cdr:x>
      <cdr:y>0.99119</cdr:y>
    </cdr:to>
    <cdr:sp macro="" textlink="">
      <cdr:nvSpPr>
        <cdr:cNvPr id="57" name="TextBox 56"/>
        <cdr:cNvSpPr txBox="1"/>
      </cdr:nvSpPr>
      <cdr:spPr>
        <a:xfrm xmlns:a="http://schemas.openxmlformats.org/drawingml/2006/main">
          <a:off x="4019550" y="2947989"/>
          <a:ext cx="742951"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200" b="1"/>
            <a:t>Sieve</a:t>
          </a:r>
          <a:r>
            <a:rPr lang="en-US" sz="1100" b="1" baseline="0"/>
            <a:t> No.</a:t>
          </a:r>
          <a:endParaRPr lang="en-US" sz="1100" b="1"/>
        </a:p>
      </cdr:txBody>
    </cdr:sp>
  </cdr:relSizeAnchor>
</c:userShapes>
</file>

<file path=xl/drawings/drawing18.xml><?xml version="1.0" encoding="utf-8"?>
<c:userShapes xmlns:c="http://schemas.openxmlformats.org/drawingml/2006/chart">
  <cdr:relSizeAnchor xmlns:cdr="http://schemas.openxmlformats.org/drawingml/2006/chartDrawing">
    <cdr:from>
      <cdr:x>0.8</cdr:x>
      <cdr:y>0.18576</cdr:y>
    </cdr:from>
    <cdr:to>
      <cdr:x>1</cdr:x>
      <cdr:y>0.5191</cdr:y>
    </cdr:to>
    <cdr:sp macro="" textlink="">
      <cdr:nvSpPr>
        <cdr:cNvPr id="6" name="TextBox 5"/>
        <cdr:cNvSpPr txBox="1"/>
      </cdr:nvSpPr>
      <cdr:spPr>
        <a:xfrm xmlns:a="http://schemas.openxmlformats.org/drawingml/2006/main">
          <a:off x="3943350" y="5095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0.13167</cdr:x>
      <cdr:y>0.84375</cdr:y>
    </cdr:from>
    <cdr:to>
      <cdr:x>0.19208</cdr:x>
      <cdr:y>1</cdr:y>
    </cdr:to>
    <cdr:sp macro="" textlink="">
      <cdr:nvSpPr>
        <cdr:cNvPr id="7" name="TextBox 6"/>
        <cdr:cNvSpPr txBox="1"/>
      </cdr:nvSpPr>
      <cdr:spPr>
        <a:xfrm xmlns:a="http://schemas.openxmlformats.org/drawingml/2006/main" rot="16200000">
          <a:off x="855018" y="3340472"/>
          <a:ext cx="602754" cy="43155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#200</a:t>
          </a:r>
        </a:p>
      </cdr:txBody>
    </cdr:sp>
  </cdr:relSizeAnchor>
  <cdr:relSizeAnchor xmlns:cdr="http://schemas.openxmlformats.org/drawingml/2006/chartDrawing">
    <cdr:from>
      <cdr:x>0.1802</cdr:x>
      <cdr:y>0.87901</cdr:y>
    </cdr:from>
    <cdr:to>
      <cdr:x>0.21733</cdr:x>
      <cdr:y>1</cdr:y>
    </cdr:to>
    <cdr:sp macro="" textlink="">
      <cdr:nvSpPr>
        <cdr:cNvPr id="8" name="TextBox 7"/>
        <cdr:cNvSpPr txBox="1"/>
      </cdr:nvSpPr>
      <cdr:spPr>
        <a:xfrm xmlns:a="http://schemas.openxmlformats.org/drawingml/2006/main" rot="16200000">
          <a:off x="1186577" y="3491627"/>
          <a:ext cx="466726" cy="26527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#100</a:t>
          </a:r>
        </a:p>
      </cdr:txBody>
    </cdr:sp>
  </cdr:relSizeAnchor>
  <cdr:relSizeAnchor xmlns:cdr="http://schemas.openxmlformats.org/drawingml/2006/chartDrawing">
    <cdr:from>
      <cdr:x>0.23941</cdr:x>
      <cdr:y>0.82986</cdr:y>
    </cdr:from>
    <cdr:to>
      <cdr:x>0.29358</cdr:x>
      <cdr:y>1</cdr:y>
    </cdr:to>
    <cdr:sp macro="" textlink="">
      <cdr:nvSpPr>
        <cdr:cNvPr id="9" name="TextBox 8"/>
        <cdr:cNvSpPr txBox="1"/>
      </cdr:nvSpPr>
      <cdr:spPr>
        <a:xfrm xmlns:a="http://schemas.openxmlformats.org/drawingml/2006/main" rot="16200000">
          <a:off x="1575606" y="3335969"/>
          <a:ext cx="656336" cy="3869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#50</a:t>
          </a:r>
        </a:p>
      </cdr:txBody>
    </cdr:sp>
  </cdr:relSizeAnchor>
  <cdr:relSizeAnchor xmlns:cdr="http://schemas.openxmlformats.org/drawingml/2006/chartDrawing">
    <cdr:from>
      <cdr:x>0.2925</cdr:x>
      <cdr:y>0.84375</cdr:y>
    </cdr:from>
    <cdr:to>
      <cdr:x>0.35709</cdr:x>
      <cdr:y>1</cdr:y>
    </cdr:to>
    <cdr:sp macro="" textlink="">
      <cdr:nvSpPr>
        <cdr:cNvPr id="10" name="TextBox 9"/>
        <cdr:cNvSpPr txBox="1"/>
      </cdr:nvSpPr>
      <cdr:spPr>
        <a:xfrm xmlns:a="http://schemas.openxmlformats.org/drawingml/2006/main" rot="16200000">
          <a:off x="2018878" y="3325541"/>
          <a:ext cx="602754" cy="4614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#30</a:t>
          </a:r>
        </a:p>
      </cdr:txBody>
    </cdr:sp>
  </cdr:relSizeAnchor>
  <cdr:relSizeAnchor xmlns:cdr="http://schemas.openxmlformats.org/drawingml/2006/chartDrawing">
    <cdr:from>
      <cdr:x>0.34604</cdr:x>
      <cdr:y>0.81424</cdr:y>
    </cdr:from>
    <cdr:to>
      <cdr:x>0.41062</cdr:x>
      <cdr:y>1</cdr:y>
    </cdr:to>
    <cdr:sp macro="" textlink="">
      <cdr:nvSpPr>
        <cdr:cNvPr id="11" name="TextBox 10"/>
        <cdr:cNvSpPr txBox="1"/>
      </cdr:nvSpPr>
      <cdr:spPr>
        <a:xfrm xmlns:a="http://schemas.openxmlformats.org/drawingml/2006/main" rot="16200000">
          <a:off x="2344422" y="3268657"/>
          <a:ext cx="716593" cy="46134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#16</a:t>
          </a:r>
        </a:p>
      </cdr:txBody>
    </cdr:sp>
  </cdr:relSizeAnchor>
  <cdr:relSizeAnchor xmlns:cdr="http://schemas.openxmlformats.org/drawingml/2006/chartDrawing">
    <cdr:from>
      <cdr:x>0.39596</cdr:x>
      <cdr:y>0.84722</cdr:y>
    </cdr:from>
    <cdr:to>
      <cdr:x>0.46054</cdr:x>
      <cdr:y>1</cdr:y>
    </cdr:to>
    <cdr:sp macro="" textlink="">
      <cdr:nvSpPr>
        <cdr:cNvPr id="12" name="TextBox 11"/>
        <cdr:cNvSpPr txBox="1"/>
      </cdr:nvSpPr>
      <cdr:spPr>
        <a:xfrm xmlns:a="http://schemas.openxmlformats.org/drawingml/2006/main" rot="16200000">
          <a:off x="2764604" y="3332270"/>
          <a:ext cx="589368" cy="4613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#8</a:t>
          </a:r>
        </a:p>
      </cdr:txBody>
    </cdr:sp>
  </cdr:relSizeAnchor>
  <cdr:relSizeAnchor xmlns:cdr="http://schemas.openxmlformats.org/drawingml/2006/chartDrawing">
    <cdr:from>
      <cdr:x>0.44938</cdr:x>
      <cdr:y>0.86358</cdr:y>
    </cdr:from>
    <cdr:to>
      <cdr:x>0.54104</cdr:x>
      <cdr:y>0.999</cdr:y>
    </cdr:to>
    <cdr:sp macro="" textlink="">
      <cdr:nvSpPr>
        <cdr:cNvPr id="13" name="TextBox 12"/>
        <cdr:cNvSpPr txBox="1"/>
      </cdr:nvSpPr>
      <cdr:spPr>
        <a:xfrm xmlns:a="http://schemas.openxmlformats.org/drawingml/2006/main" rot="16200000">
          <a:off x="3276457" y="3265167"/>
          <a:ext cx="522400" cy="6547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#4</a:t>
          </a:r>
        </a:p>
      </cdr:txBody>
    </cdr:sp>
  </cdr:relSizeAnchor>
  <cdr:relSizeAnchor xmlns:cdr="http://schemas.openxmlformats.org/drawingml/2006/chartDrawing">
    <cdr:from>
      <cdr:x>0.49775</cdr:x>
      <cdr:y>0.85764</cdr:y>
    </cdr:from>
    <cdr:to>
      <cdr:x>0.58316</cdr:x>
      <cdr:y>1</cdr:y>
    </cdr:to>
    <cdr:sp macro="" textlink="">
      <cdr:nvSpPr>
        <cdr:cNvPr id="14" name="TextBox 13"/>
        <cdr:cNvSpPr txBox="1"/>
      </cdr:nvSpPr>
      <cdr:spPr>
        <a:xfrm xmlns:a="http://schemas.openxmlformats.org/drawingml/2006/main" rot="16200000">
          <a:off x="3586314" y="3277966"/>
          <a:ext cx="549172" cy="61014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3/8</a:t>
          </a:r>
        </a:p>
      </cdr:txBody>
    </cdr:sp>
  </cdr:relSizeAnchor>
  <cdr:relSizeAnchor xmlns:cdr="http://schemas.openxmlformats.org/drawingml/2006/chartDrawing">
    <cdr:from>
      <cdr:x>0.54996</cdr:x>
      <cdr:y>0.88194</cdr:y>
    </cdr:from>
    <cdr:to>
      <cdr:x>0.6208</cdr:x>
      <cdr:y>0.99653</cdr:y>
    </cdr:to>
    <cdr:sp macro="" textlink="">
      <cdr:nvSpPr>
        <cdr:cNvPr id="15" name="TextBox 14"/>
        <cdr:cNvSpPr txBox="1"/>
      </cdr:nvSpPr>
      <cdr:spPr>
        <a:xfrm xmlns:a="http://schemas.openxmlformats.org/drawingml/2006/main" rot="16200000">
          <a:off x="3960762" y="3370186"/>
          <a:ext cx="442045" cy="5060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1/2</a:t>
          </a:r>
        </a:p>
      </cdr:txBody>
    </cdr:sp>
  </cdr:relSizeAnchor>
  <cdr:relSizeAnchor xmlns:cdr="http://schemas.openxmlformats.org/drawingml/2006/chartDrawing">
    <cdr:from>
      <cdr:x>0.59554</cdr:x>
      <cdr:y>0.89383</cdr:y>
    </cdr:from>
    <cdr:to>
      <cdr:x>0.63067</cdr:x>
      <cdr:y>0.99753</cdr:y>
    </cdr:to>
    <cdr:sp macro="" textlink="">
      <cdr:nvSpPr>
        <cdr:cNvPr id="16" name="TextBox 15"/>
        <cdr:cNvSpPr txBox="1"/>
      </cdr:nvSpPr>
      <cdr:spPr>
        <a:xfrm xmlns:a="http://schemas.openxmlformats.org/drawingml/2006/main" rot="16200000">
          <a:off x="4179821" y="3522595"/>
          <a:ext cx="400051" cy="2509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3/4</a:t>
          </a:r>
        </a:p>
      </cdr:txBody>
    </cdr:sp>
  </cdr:relSizeAnchor>
  <cdr:relSizeAnchor xmlns:cdr="http://schemas.openxmlformats.org/drawingml/2006/chartDrawing">
    <cdr:from>
      <cdr:x>0.64683</cdr:x>
      <cdr:y>0.89877</cdr:y>
    </cdr:from>
    <cdr:to>
      <cdr:x>0.67733</cdr:x>
      <cdr:y>0.99753</cdr:y>
    </cdr:to>
    <cdr:sp macro="" textlink="">
      <cdr:nvSpPr>
        <cdr:cNvPr id="17" name="TextBox 16"/>
        <cdr:cNvSpPr txBox="1"/>
      </cdr:nvSpPr>
      <cdr:spPr>
        <a:xfrm xmlns:a="http://schemas.openxmlformats.org/drawingml/2006/main" rot="16200000">
          <a:off x="4539260" y="3548656"/>
          <a:ext cx="380998" cy="2178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1in</a:t>
          </a:r>
        </a:p>
      </cdr:txBody>
    </cdr:sp>
  </cdr:relSizeAnchor>
  <cdr:relSizeAnchor xmlns:cdr="http://schemas.openxmlformats.org/drawingml/2006/chartDrawing">
    <cdr:from>
      <cdr:x>0.69655</cdr:x>
      <cdr:y>0.85679</cdr:y>
    </cdr:from>
    <cdr:to>
      <cdr:x>0.72933</cdr:x>
      <cdr:y>0.99012</cdr:y>
    </cdr:to>
    <cdr:sp macro="" textlink="">
      <cdr:nvSpPr>
        <cdr:cNvPr id="18" name="TextBox 17"/>
        <cdr:cNvSpPr txBox="1"/>
      </cdr:nvSpPr>
      <cdr:spPr>
        <a:xfrm xmlns:a="http://schemas.openxmlformats.org/drawingml/2006/main" rot="16200000">
          <a:off x="4835890" y="3445241"/>
          <a:ext cx="514351" cy="234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 1/2</a:t>
          </a:r>
        </a:p>
      </cdr:txBody>
    </cdr:sp>
  </cdr:relSizeAnchor>
  <cdr:relSizeAnchor xmlns:cdr="http://schemas.openxmlformats.org/drawingml/2006/chartDrawing">
    <cdr:from>
      <cdr:x>0.82908</cdr:x>
      <cdr:y>0.90896</cdr:y>
    </cdr:from>
    <cdr:to>
      <cdr:x>0.98232</cdr:x>
      <cdr:y>0.99119</cdr:y>
    </cdr:to>
    <cdr:sp macro="" textlink="">
      <cdr:nvSpPr>
        <cdr:cNvPr id="57" name="TextBox 56"/>
        <cdr:cNvSpPr txBox="1"/>
      </cdr:nvSpPr>
      <cdr:spPr>
        <a:xfrm xmlns:a="http://schemas.openxmlformats.org/drawingml/2006/main">
          <a:off x="4019550" y="2947989"/>
          <a:ext cx="742951"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200" b="1"/>
            <a:t>Sieve</a:t>
          </a:r>
          <a:r>
            <a:rPr lang="en-US" sz="1100" b="1" baseline="0"/>
            <a:t> No.</a:t>
          </a:r>
          <a:endParaRPr lang="en-US" sz="1100" b="1"/>
        </a:p>
      </cdr:txBody>
    </cdr:sp>
  </cdr:relSizeAnchor>
</c:userShapes>
</file>

<file path=xl/drawings/drawing19.xml><?xml version="1.0" encoding="utf-8"?>
<c:userShapes xmlns:c="http://schemas.openxmlformats.org/drawingml/2006/chart">
  <cdr:relSizeAnchor xmlns:cdr="http://schemas.openxmlformats.org/drawingml/2006/chartDrawing">
    <cdr:from>
      <cdr:x>0.8</cdr:x>
      <cdr:y>0.18576</cdr:y>
    </cdr:from>
    <cdr:to>
      <cdr:x>1</cdr:x>
      <cdr:y>0.5191</cdr:y>
    </cdr:to>
    <cdr:sp macro="" textlink="">
      <cdr:nvSpPr>
        <cdr:cNvPr id="6" name="TextBox 5"/>
        <cdr:cNvSpPr txBox="1"/>
      </cdr:nvSpPr>
      <cdr:spPr>
        <a:xfrm xmlns:a="http://schemas.openxmlformats.org/drawingml/2006/main">
          <a:off x="3943350" y="5095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0.13167</cdr:x>
      <cdr:y>0.84375</cdr:y>
    </cdr:from>
    <cdr:to>
      <cdr:x>0.19208</cdr:x>
      <cdr:y>1</cdr:y>
    </cdr:to>
    <cdr:sp macro="" textlink="">
      <cdr:nvSpPr>
        <cdr:cNvPr id="7" name="TextBox 6"/>
        <cdr:cNvSpPr txBox="1"/>
      </cdr:nvSpPr>
      <cdr:spPr>
        <a:xfrm xmlns:a="http://schemas.openxmlformats.org/drawingml/2006/main" rot="16200000">
          <a:off x="855018" y="3340472"/>
          <a:ext cx="602754" cy="43155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#200</a:t>
          </a:r>
        </a:p>
      </cdr:txBody>
    </cdr:sp>
  </cdr:relSizeAnchor>
  <cdr:relSizeAnchor xmlns:cdr="http://schemas.openxmlformats.org/drawingml/2006/chartDrawing">
    <cdr:from>
      <cdr:x>0.1802</cdr:x>
      <cdr:y>0.87901</cdr:y>
    </cdr:from>
    <cdr:to>
      <cdr:x>0.21733</cdr:x>
      <cdr:y>1</cdr:y>
    </cdr:to>
    <cdr:sp macro="" textlink="">
      <cdr:nvSpPr>
        <cdr:cNvPr id="8" name="TextBox 7"/>
        <cdr:cNvSpPr txBox="1"/>
      </cdr:nvSpPr>
      <cdr:spPr>
        <a:xfrm xmlns:a="http://schemas.openxmlformats.org/drawingml/2006/main" rot="16200000">
          <a:off x="1186577" y="3491627"/>
          <a:ext cx="466726" cy="26527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#100</a:t>
          </a:r>
        </a:p>
      </cdr:txBody>
    </cdr:sp>
  </cdr:relSizeAnchor>
  <cdr:relSizeAnchor xmlns:cdr="http://schemas.openxmlformats.org/drawingml/2006/chartDrawing">
    <cdr:from>
      <cdr:x>0.23941</cdr:x>
      <cdr:y>0.82986</cdr:y>
    </cdr:from>
    <cdr:to>
      <cdr:x>0.29358</cdr:x>
      <cdr:y>1</cdr:y>
    </cdr:to>
    <cdr:sp macro="" textlink="">
      <cdr:nvSpPr>
        <cdr:cNvPr id="9" name="TextBox 8"/>
        <cdr:cNvSpPr txBox="1"/>
      </cdr:nvSpPr>
      <cdr:spPr>
        <a:xfrm xmlns:a="http://schemas.openxmlformats.org/drawingml/2006/main" rot="16200000">
          <a:off x="1575606" y="3335969"/>
          <a:ext cx="656336" cy="3869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#50</a:t>
          </a:r>
        </a:p>
      </cdr:txBody>
    </cdr:sp>
  </cdr:relSizeAnchor>
  <cdr:relSizeAnchor xmlns:cdr="http://schemas.openxmlformats.org/drawingml/2006/chartDrawing">
    <cdr:from>
      <cdr:x>0.2925</cdr:x>
      <cdr:y>0.84375</cdr:y>
    </cdr:from>
    <cdr:to>
      <cdr:x>0.35709</cdr:x>
      <cdr:y>1</cdr:y>
    </cdr:to>
    <cdr:sp macro="" textlink="">
      <cdr:nvSpPr>
        <cdr:cNvPr id="10" name="TextBox 9"/>
        <cdr:cNvSpPr txBox="1"/>
      </cdr:nvSpPr>
      <cdr:spPr>
        <a:xfrm xmlns:a="http://schemas.openxmlformats.org/drawingml/2006/main" rot="16200000">
          <a:off x="2018878" y="3325541"/>
          <a:ext cx="602754" cy="4614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#30</a:t>
          </a:r>
        </a:p>
      </cdr:txBody>
    </cdr:sp>
  </cdr:relSizeAnchor>
  <cdr:relSizeAnchor xmlns:cdr="http://schemas.openxmlformats.org/drawingml/2006/chartDrawing">
    <cdr:from>
      <cdr:x>0.34604</cdr:x>
      <cdr:y>0.81424</cdr:y>
    </cdr:from>
    <cdr:to>
      <cdr:x>0.41062</cdr:x>
      <cdr:y>1</cdr:y>
    </cdr:to>
    <cdr:sp macro="" textlink="">
      <cdr:nvSpPr>
        <cdr:cNvPr id="11" name="TextBox 10"/>
        <cdr:cNvSpPr txBox="1"/>
      </cdr:nvSpPr>
      <cdr:spPr>
        <a:xfrm xmlns:a="http://schemas.openxmlformats.org/drawingml/2006/main" rot="16200000">
          <a:off x="2344422" y="3268657"/>
          <a:ext cx="716593" cy="46134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#16</a:t>
          </a:r>
        </a:p>
      </cdr:txBody>
    </cdr:sp>
  </cdr:relSizeAnchor>
  <cdr:relSizeAnchor xmlns:cdr="http://schemas.openxmlformats.org/drawingml/2006/chartDrawing">
    <cdr:from>
      <cdr:x>0.39596</cdr:x>
      <cdr:y>0.84722</cdr:y>
    </cdr:from>
    <cdr:to>
      <cdr:x>0.46054</cdr:x>
      <cdr:y>1</cdr:y>
    </cdr:to>
    <cdr:sp macro="" textlink="">
      <cdr:nvSpPr>
        <cdr:cNvPr id="12" name="TextBox 11"/>
        <cdr:cNvSpPr txBox="1"/>
      </cdr:nvSpPr>
      <cdr:spPr>
        <a:xfrm xmlns:a="http://schemas.openxmlformats.org/drawingml/2006/main" rot="16200000">
          <a:off x="2764604" y="3332270"/>
          <a:ext cx="589368" cy="4613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#8</a:t>
          </a:r>
        </a:p>
      </cdr:txBody>
    </cdr:sp>
  </cdr:relSizeAnchor>
  <cdr:relSizeAnchor xmlns:cdr="http://schemas.openxmlformats.org/drawingml/2006/chartDrawing">
    <cdr:from>
      <cdr:x>0.44938</cdr:x>
      <cdr:y>0.86358</cdr:y>
    </cdr:from>
    <cdr:to>
      <cdr:x>0.54104</cdr:x>
      <cdr:y>0.999</cdr:y>
    </cdr:to>
    <cdr:sp macro="" textlink="">
      <cdr:nvSpPr>
        <cdr:cNvPr id="13" name="TextBox 12"/>
        <cdr:cNvSpPr txBox="1"/>
      </cdr:nvSpPr>
      <cdr:spPr>
        <a:xfrm xmlns:a="http://schemas.openxmlformats.org/drawingml/2006/main" rot="16200000">
          <a:off x="3276457" y="3265167"/>
          <a:ext cx="522400" cy="6547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#4</a:t>
          </a:r>
        </a:p>
      </cdr:txBody>
    </cdr:sp>
  </cdr:relSizeAnchor>
  <cdr:relSizeAnchor xmlns:cdr="http://schemas.openxmlformats.org/drawingml/2006/chartDrawing">
    <cdr:from>
      <cdr:x>0.49775</cdr:x>
      <cdr:y>0.85764</cdr:y>
    </cdr:from>
    <cdr:to>
      <cdr:x>0.58316</cdr:x>
      <cdr:y>1</cdr:y>
    </cdr:to>
    <cdr:sp macro="" textlink="">
      <cdr:nvSpPr>
        <cdr:cNvPr id="14" name="TextBox 13"/>
        <cdr:cNvSpPr txBox="1"/>
      </cdr:nvSpPr>
      <cdr:spPr>
        <a:xfrm xmlns:a="http://schemas.openxmlformats.org/drawingml/2006/main" rot="16200000">
          <a:off x="3586314" y="3277966"/>
          <a:ext cx="549172" cy="61014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3/8</a:t>
          </a:r>
        </a:p>
      </cdr:txBody>
    </cdr:sp>
  </cdr:relSizeAnchor>
  <cdr:relSizeAnchor xmlns:cdr="http://schemas.openxmlformats.org/drawingml/2006/chartDrawing">
    <cdr:from>
      <cdr:x>0.54996</cdr:x>
      <cdr:y>0.88194</cdr:y>
    </cdr:from>
    <cdr:to>
      <cdr:x>0.6208</cdr:x>
      <cdr:y>0.99653</cdr:y>
    </cdr:to>
    <cdr:sp macro="" textlink="">
      <cdr:nvSpPr>
        <cdr:cNvPr id="15" name="TextBox 14"/>
        <cdr:cNvSpPr txBox="1"/>
      </cdr:nvSpPr>
      <cdr:spPr>
        <a:xfrm xmlns:a="http://schemas.openxmlformats.org/drawingml/2006/main" rot="16200000">
          <a:off x="3960762" y="3370186"/>
          <a:ext cx="442045" cy="5060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1/2</a:t>
          </a:r>
        </a:p>
      </cdr:txBody>
    </cdr:sp>
  </cdr:relSizeAnchor>
  <cdr:relSizeAnchor xmlns:cdr="http://schemas.openxmlformats.org/drawingml/2006/chartDrawing">
    <cdr:from>
      <cdr:x>0.59554</cdr:x>
      <cdr:y>0.89383</cdr:y>
    </cdr:from>
    <cdr:to>
      <cdr:x>0.63067</cdr:x>
      <cdr:y>0.99753</cdr:y>
    </cdr:to>
    <cdr:sp macro="" textlink="">
      <cdr:nvSpPr>
        <cdr:cNvPr id="16" name="TextBox 15"/>
        <cdr:cNvSpPr txBox="1"/>
      </cdr:nvSpPr>
      <cdr:spPr>
        <a:xfrm xmlns:a="http://schemas.openxmlformats.org/drawingml/2006/main" rot="16200000">
          <a:off x="4179821" y="3522595"/>
          <a:ext cx="400051" cy="2509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3/4</a:t>
          </a:r>
        </a:p>
      </cdr:txBody>
    </cdr:sp>
  </cdr:relSizeAnchor>
  <cdr:relSizeAnchor xmlns:cdr="http://schemas.openxmlformats.org/drawingml/2006/chartDrawing">
    <cdr:from>
      <cdr:x>0.64683</cdr:x>
      <cdr:y>0.89877</cdr:y>
    </cdr:from>
    <cdr:to>
      <cdr:x>0.67733</cdr:x>
      <cdr:y>0.99753</cdr:y>
    </cdr:to>
    <cdr:sp macro="" textlink="">
      <cdr:nvSpPr>
        <cdr:cNvPr id="17" name="TextBox 16"/>
        <cdr:cNvSpPr txBox="1"/>
      </cdr:nvSpPr>
      <cdr:spPr>
        <a:xfrm xmlns:a="http://schemas.openxmlformats.org/drawingml/2006/main" rot="16200000">
          <a:off x="4539260" y="3548656"/>
          <a:ext cx="380998" cy="2178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1in</a:t>
          </a:r>
        </a:p>
      </cdr:txBody>
    </cdr:sp>
  </cdr:relSizeAnchor>
  <cdr:relSizeAnchor xmlns:cdr="http://schemas.openxmlformats.org/drawingml/2006/chartDrawing">
    <cdr:from>
      <cdr:x>0.69655</cdr:x>
      <cdr:y>0.85679</cdr:y>
    </cdr:from>
    <cdr:to>
      <cdr:x>0.72933</cdr:x>
      <cdr:y>0.99012</cdr:y>
    </cdr:to>
    <cdr:sp macro="" textlink="">
      <cdr:nvSpPr>
        <cdr:cNvPr id="18" name="TextBox 17"/>
        <cdr:cNvSpPr txBox="1"/>
      </cdr:nvSpPr>
      <cdr:spPr>
        <a:xfrm xmlns:a="http://schemas.openxmlformats.org/drawingml/2006/main" rot="16200000">
          <a:off x="4835890" y="3445241"/>
          <a:ext cx="514351" cy="234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 1/2</a:t>
          </a:r>
        </a:p>
      </cdr:txBody>
    </cdr:sp>
  </cdr:relSizeAnchor>
  <cdr:relSizeAnchor xmlns:cdr="http://schemas.openxmlformats.org/drawingml/2006/chartDrawing">
    <cdr:from>
      <cdr:x>0.82908</cdr:x>
      <cdr:y>0.90896</cdr:y>
    </cdr:from>
    <cdr:to>
      <cdr:x>0.98232</cdr:x>
      <cdr:y>0.99119</cdr:y>
    </cdr:to>
    <cdr:sp macro="" textlink="">
      <cdr:nvSpPr>
        <cdr:cNvPr id="57" name="TextBox 56"/>
        <cdr:cNvSpPr txBox="1"/>
      </cdr:nvSpPr>
      <cdr:spPr>
        <a:xfrm xmlns:a="http://schemas.openxmlformats.org/drawingml/2006/main">
          <a:off x="4019550" y="2947989"/>
          <a:ext cx="742951"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200" b="1"/>
            <a:t>Sieve</a:t>
          </a:r>
          <a:r>
            <a:rPr lang="en-US" sz="1100" b="1" baseline="0"/>
            <a:t> No.</a:t>
          </a:r>
          <a:endParaRPr lang="en-US" sz="1100" b="1"/>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11</xdr:col>
      <xdr:colOff>792480</xdr:colOff>
      <xdr:row>0</xdr:row>
      <xdr:rowOff>38100</xdr:rowOff>
    </xdr:from>
    <xdr:to>
      <xdr:col>13</xdr:col>
      <xdr:colOff>76200</xdr:colOff>
      <xdr:row>0</xdr:row>
      <xdr:rowOff>678180</xdr:rowOff>
    </xdr:to>
    <xdr:pic>
      <xdr:nvPicPr>
        <xdr:cNvPr id="3" name="Picture 2" descr="M&amp;R logo redo.BMP">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9680" y="38100"/>
          <a:ext cx="70866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0.8</cdr:x>
      <cdr:y>0.18576</cdr:y>
    </cdr:from>
    <cdr:to>
      <cdr:x>1</cdr:x>
      <cdr:y>0.5191</cdr:y>
    </cdr:to>
    <cdr:sp macro="" textlink="">
      <cdr:nvSpPr>
        <cdr:cNvPr id="6" name="TextBox 5"/>
        <cdr:cNvSpPr txBox="1"/>
      </cdr:nvSpPr>
      <cdr:spPr>
        <a:xfrm xmlns:a="http://schemas.openxmlformats.org/drawingml/2006/main">
          <a:off x="3943350" y="5095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0.13167</cdr:x>
      <cdr:y>0.84375</cdr:y>
    </cdr:from>
    <cdr:to>
      <cdr:x>0.19208</cdr:x>
      <cdr:y>1</cdr:y>
    </cdr:to>
    <cdr:sp macro="" textlink="">
      <cdr:nvSpPr>
        <cdr:cNvPr id="7" name="TextBox 6"/>
        <cdr:cNvSpPr txBox="1"/>
      </cdr:nvSpPr>
      <cdr:spPr>
        <a:xfrm xmlns:a="http://schemas.openxmlformats.org/drawingml/2006/main" rot="16200000">
          <a:off x="855018" y="3340472"/>
          <a:ext cx="602754" cy="43155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#200</a:t>
          </a:r>
        </a:p>
      </cdr:txBody>
    </cdr:sp>
  </cdr:relSizeAnchor>
  <cdr:relSizeAnchor xmlns:cdr="http://schemas.openxmlformats.org/drawingml/2006/chartDrawing">
    <cdr:from>
      <cdr:x>0.1802</cdr:x>
      <cdr:y>0.87901</cdr:y>
    </cdr:from>
    <cdr:to>
      <cdr:x>0.21733</cdr:x>
      <cdr:y>1</cdr:y>
    </cdr:to>
    <cdr:sp macro="" textlink="">
      <cdr:nvSpPr>
        <cdr:cNvPr id="8" name="TextBox 7"/>
        <cdr:cNvSpPr txBox="1"/>
      </cdr:nvSpPr>
      <cdr:spPr>
        <a:xfrm xmlns:a="http://schemas.openxmlformats.org/drawingml/2006/main" rot="16200000">
          <a:off x="1186577" y="3491627"/>
          <a:ext cx="466726" cy="26527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#100</a:t>
          </a:r>
        </a:p>
      </cdr:txBody>
    </cdr:sp>
  </cdr:relSizeAnchor>
  <cdr:relSizeAnchor xmlns:cdr="http://schemas.openxmlformats.org/drawingml/2006/chartDrawing">
    <cdr:from>
      <cdr:x>0.23941</cdr:x>
      <cdr:y>0.82986</cdr:y>
    </cdr:from>
    <cdr:to>
      <cdr:x>0.29358</cdr:x>
      <cdr:y>1</cdr:y>
    </cdr:to>
    <cdr:sp macro="" textlink="">
      <cdr:nvSpPr>
        <cdr:cNvPr id="9" name="TextBox 8"/>
        <cdr:cNvSpPr txBox="1"/>
      </cdr:nvSpPr>
      <cdr:spPr>
        <a:xfrm xmlns:a="http://schemas.openxmlformats.org/drawingml/2006/main" rot="16200000">
          <a:off x="1575606" y="3335969"/>
          <a:ext cx="656336" cy="3869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#50</a:t>
          </a:r>
        </a:p>
      </cdr:txBody>
    </cdr:sp>
  </cdr:relSizeAnchor>
  <cdr:relSizeAnchor xmlns:cdr="http://schemas.openxmlformats.org/drawingml/2006/chartDrawing">
    <cdr:from>
      <cdr:x>0.2925</cdr:x>
      <cdr:y>0.84375</cdr:y>
    </cdr:from>
    <cdr:to>
      <cdr:x>0.35709</cdr:x>
      <cdr:y>1</cdr:y>
    </cdr:to>
    <cdr:sp macro="" textlink="">
      <cdr:nvSpPr>
        <cdr:cNvPr id="10" name="TextBox 9"/>
        <cdr:cNvSpPr txBox="1"/>
      </cdr:nvSpPr>
      <cdr:spPr>
        <a:xfrm xmlns:a="http://schemas.openxmlformats.org/drawingml/2006/main" rot="16200000">
          <a:off x="2018878" y="3325541"/>
          <a:ext cx="602754" cy="4614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#30</a:t>
          </a:r>
        </a:p>
      </cdr:txBody>
    </cdr:sp>
  </cdr:relSizeAnchor>
  <cdr:relSizeAnchor xmlns:cdr="http://schemas.openxmlformats.org/drawingml/2006/chartDrawing">
    <cdr:from>
      <cdr:x>0.34604</cdr:x>
      <cdr:y>0.81424</cdr:y>
    </cdr:from>
    <cdr:to>
      <cdr:x>0.41062</cdr:x>
      <cdr:y>1</cdr:y>
    </cdr:to>
    <cdr:sp macro="" textlink="">
      <cdr:nvSpPr>
        <cdr:cNvPr id="11" name="TextBox 10"/>
        <cdr:cNvSpPr txBox="1"/>
      </cdr:nvSpPr>
      <cdr:spPr>
        <a:xfrm xmlns:a="http://schemas.openxmlformats.org/drawingml/2006/main" rot="16200000">
          <a:off x="2344422" y="3268657"/>
          <a:ext cx="716593" cy="46134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#16</a:t>
          </a:r>
        </a:p>
      </cdr:txBody>
    </cdr:sp>
  </cdr:relSizeAnchor>
  <cdr:relSizeAnchor xmlns:cdr="http://schemas.openxmlformats.org/drawingml/2006/chartDrawing">
    <cdr:from>
      <cdr:x>0.39596</cdr:x>
      <cdr:y>0.84722</cdr:y>
    </cdr:from>
    <cdr:to>
      <cdr:x>0.46054</cdr:x>
      <cdr:y>1</cdr:y>
    </cdr:to>
    <cdr:sp macro="" textlink="">
      <cdr:nvSpPr>
        <cdr:cNvPr id="12" name="TextBox 11"/>
        <cdr:cNvSpPr txBox="1"/>
      </cdr:nvSpPr>
      <cdr:spPr>
        <a:xfrm xmlns:a="http://schemas.openxmlformats.org/drawingml/2006/main" rot="16200000">
          <a:off x="2764604" y="3332270"/>
          <a:ext cx="589368" cy="4613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#8</a:t>
          </a:r>
        </a:p>
      </cdr:txBody>
    </cdr:sp>
  </cdr:relSizeAnchor>
  <cdr:relSizeAnchor xmlns:cdr="http://schemas.openxmlformats.org/drawingml/2006/chartDrawing">
    <cdr:from>
      <cdr:x>0.44938</cdr:x>
      <cdr:y>0.86358</cdr:y>
    </cdr:from>
    <cdr:to>
      <cdr:x>0.54104</cdr:x>
      <cdr:y>0.999</cdr:y>
    </cdr:to>
    <cdr:sp macro="" textlink="">
      <cdr:nvSpPr>
        <cdr:cNvPr id="13" name="TextBox 12"/>
        <cdr:cNvSpPr txBox="1"/>
      </cdr:nvSpPr>
      <cdr:spPr>
        <a:xfrm xmlns:a="http://schemas.openxmlformats.org/drawingml/2006/main" rot="16200000">
          <a:off x="3276457" y="3265167"/>
          <a:ext cx="522400" cy="6547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#4</a:t>
          </a:r>
        </a:p>
      </cdr:txBody>
    </cdr:sp>
  </cdr:relSizeAnchor>
  <cdr:relSizeAnchor xmlns:cdr="http://schemas.openxmlformats.org/drawingml/2006/chartDrawing">
    <cdr:from>
      <cdr:x>0.49775</cdr:x>
      <cdr:y>0.85764</cdr:y>
    </cdr:from>
    <cdr:to>
      <cdr:x>0.58316</cdr:x>
      <cdr:y>1</cdr:y>
    </cdr:to>
    <cdr:sp macro="" textlink="">
      <cdr:nvSpPr>
        <cdr:cNvPr id="14" name="TextBox 13"/>
        <cdr:cNvSpPr txBox="1"/>
      </cdr:nvSpPr>
      <cdr:spPr>
        <a:xfrm xmlns:a="http://schemas.openxmlformats.org/drawingml/2006/main" rot="16200000">
          <a:off x="3586314" y="3277966"/>
          <a:ext cx="549172" cy="61014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3/8</a:t>
          </a:r>
        </a:p>
      </cdr:txBody>
    </cdr:sp>
  </cdr:relSizeAnchor>
  <cdr:relSizeAnchor xmlns:cdr="http://schemas.openxmlformats.org/drawingml/2006/chartDrawing">
    <cdr:from>
      <cdr:x>0.54996</cdr:x>
      <cdr:y>0.88194</cdr:y>
    </cdr:from>
    <cdr:to>
      <cdr:x>0.6208</cdr:x>
      <cdr:y>0.99653</cdr:y>
    </cdr:to>
    <cdr:sp macro="" textlink="">
      <cdr:nvSpPr>
        <cdr:cNvPr id="15" name="TextBox 14"/>
        <cdr:cNvSpPr txBox="1"/>
      </cdr:nvSpPr>
      <cdr:spPr>
        <a:xfrm xmlns:a="http://schemas.openxmlformats.org/drawingml/2006/main" rot="16200000">
          <a:off x="3960762" y="3370186"/>
          <a:ext cx="442045" cy="5060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1/2</a:t>
          </a:r>
        </a:p>
      </cdr:txBody>
    </cdr:sp>
  </cdr:relSizeAnchor>
  <cdr:relSizeAnchor xmlns:cdr="http://schemas.openxmlformats.org/drawingml/2006/chartDrawing">
    <cdr:from>
      <cdr:x>0.59554</cdr:x>
      <cdr:y>0.89383</cdr:y>
    </cdr:from>
    <cdr:to>
      <cdr:x>0.63067</cdr:x>
      <cdr:y>0.99753</cdr:y>
    </cdr:to>
    <cdr:sp macro="" textlink="">
      <cdr:nvSpPr>
        <cdr:cNvPr id="16" name="TextBox 15"/>
        <cdr:cNvSpPr txBox="1"/>
      </cdr:nvSpPr>
      <cdr:spPr>
        <a:xfrm xmlns:a="http://schemas.openxmlformats.org/drawingml/2006/main" rot="16200000">
          <a:off x="4179821" y="3522595"/>
          <a:ext cx="400051" cy="2509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3/4</a:t>
          </a:r>
        </a:p>
      </cdr:txBody>
    </cdr:sp>
  </cdr:relSizeAnchor>
  <cdr:relSizeAnchor xmlns:cdr="http://schemas.openxmlformats.org/drawingml/2006/chartDrawing">
    <cdr:from>
      <cdr:x>0.64683</cdr:x>
      <cdr:y>0.89877</cdr:y>
    </cdr:from>
    <cdr:to>
      <cdr:x>0.67733</cdr:x>
      <cdr:y>0.99753</cdr:y>
    </cdr:to>
    <cdr:sp macro="" textlink="">
      <cdr:nvSpPr>
        <cdr:cNvPr id="17" name="TextBox 16"/>
        <cdr:cNvSpPr txBox="1"/>
      </cdr:nvSpPr>
      <cdr:spPr>
        <a:xfrm xmlns:a="http://schemas.openxmlformats.org/drawingml/2006/main" rot="16200000">
          <a:off x="4539260" y="3548656"/>
          <a:ext cx="380998" cy="2178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1in</a:t>
          </a:r>
        </a:p>
      </cdr:txBody>
    </cdr:sp>
  </cdr:relSizeAnchor>
  <cdr:relSizeAnchor xmlns:cdr="http://schemas.openxmlformats.org/drawingml/2006/chartDrawing">
    <cdr:from>
      <cdr:x>0.69655</cdr:x>
      <cdr:y>0.85679</cdr:y>
    </cdr:from>
    <cdr:to>
      <cdr:x>0.72933</cdr:x>
      <cdr:y>0.99012</cdr:y>
    </cdr:to>
    <cdr:sp macro="" textlink="">
      <cdr:nvSpPr>
        <cdr:cNvPr id="18" name="TextBox 17"/>
        <cdr:cNvSpPr txBox="1"/>
      </cdr:nvSpPr>
      <cdr:spPr>
        <a:xfrm xmlns:a="http://schemas.openxmlformats.org/drawingml/2006/main" rot="16200000">
          <a:off x="4835890" y="3445241"/>
          <a:ext cx="514351" cy="234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 1/2</a:t>
          </a:r>
        </a:p>
      </cdr:txBody>
    </cdr:sp>
  </cdr:relSizeAnchor>
  <cdr:relSizeAnchor xmlns:cdr="http://schemas.openxmlformats.org/drawingml/2006/chartDrawing">
    <cdr:from>
      <cdr:x>0.82908</cdr:x>
      <cdr:y>0.90896</cdr:y>
    </cdr:from>
    <cdr:to>
      <cdr:x>0.98232</cdr:x>
      <cdr:y>0.99119</cdr:y>
    </cdr:to>
    <cdr:sp macro="" textlink="">
      <cdr:nvSpPr>
        <cdr:cNvPr id="57" name="TextBox 56"/>
        <cdr:cNvSpPr txBox="1"/>
      </cdr:nvSpPr>
      <cdr:spPr>
        <a:xfrm xmlns:a="http://schemas.openxmlformats.org/drawingml/2006/main">
          <a:off x="4019550" y="2947989"/>
          <a:ext cx="742951"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200" b="1"/>
            <a:t>Sieve</a:t>
          </a:r>
          <a:r>
            <a:rPr lang="en-US" sz="1100" b="1" baseline="0"/>
            <a:t> No.</a:t>
          </a:r>
          <a:endParaRPr lang="en-US" sz="1100" b="1"/>
        </a:p>
      </cdr:txBody>
    </cdr:sp>
  </cdr:relSizeAnchor>
</c:userShapes>
</file>

<file path=xl/drawings/drawing21.xml><?xml version="1.0" encoding="utf-8"?>
<c:userShapes xmlns:c="http://schemas.openxmlformats.org/drawingml/2006/chart">
  <cdr:relSizeAnchor xmlns:cdr="http://schemas.openxmlformats.org/drawingml/2006/chartDrawing">
    <cdr:from>
      <cdr:x>0.8</cdr:x>
      <cdr:y>0.18576</cdr:y>
    </cdr:from>
    <cdr:to>
      <cdr:x>1</cdr:x>
      <cdr:y>0.5191</cdr:y>
    </cdr:to>
    <cdr:sp macro="" textlink="">
      <cdr:nvSpPr>
        <cdr:cNvPr id="6" name="TextBox 5"/>
        <cdr:cNvSpPr txBox="1"/>
      </cdr:nvSpPr>
      <cdr:spPr>
        <a:xfrm xmlns:a="http://schemas.openxmlformats.org/drawingml/2006/main">
          <a:off x="3943350" y="5095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0.13167</cdr:x>
      <cdr:y>0.84375</cdr:y>
    </cdr:from>
    <cdr:to>
      <cdr:x>0.19208</cdr:x>
      <cdr:y>1</cdr:y>
    </cdr:to>
    <cdr:sp macro="" textlink="">
      <cdr:nvSpPr>
        <cdr:cNvPr id="7" name="TextBox 6"/>
        <cdr:cNvSpPr txBox="1"/>
      </cdr:nvSpPr>
      <cdr:spPr>
        <a:xfrm xmlns:a="http://schemas.openxmlformats.org/drawingml/2006/main" rot="16200000">
          <a:off x="855018" y="3340472"/>
          <a:ext cx="602754" cy="43155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#200</a:t>
          </a:r>
        </a:p>
      </cdr:txBody>
    </cdr:sp>
  </cdr:relSizeAnchor>
  <cdr:relSizeAnchor xmlns:cdr="http://schemas.openxmlformats.org/drawingml/2006/chartDrawing">
    <cdr:from>
      <cdr:x>0.1802</cdr:x>
      <cdr:y>0.87901</cdr:y>
    </cdr:from>
    <cdr:to>
      <cdr:x>0.21733</cdr:x>
      <cdr:y>1</cdr:y>
    </cdr:to>
    <cdr:sp macro="" textlink="">
      <cdr:nvSpPr>
        <cdr:cNvPr id="8" name="TextBox 7"/>
        <cdr:cNvSpPr txBox="1"/>
      </cdr:nvSpPr>
      <cdr:spPr>
        <a:xfrm xmlns:a="http://schemas.openxmlformats.org/drawingml/2006/main" rot="16200000">
          <a:off x="1186577" y="3491627"/>
          <a:ext cx="466726" cy="26527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#100</a:t>
          </a:r>
        </a:p>
      </cdr:txBody>
    </cdr:sp>
  </cdr:relSizeAnchor>
  <cdr:relSizeAnchor xmlns:cdr="http://schemas.openxmlformats.org/drawingml/2006/chartDrawing">
    <cdr:from>
      <cdr:x>0.23941</cdr:x>
      <cdr:y>0.82986</cdr:y>
    </cdr:from>
    <cdr:to>
      <cdr:x>0.29358</cdr:x>
      <cdr:y>1</cdr:y>
    </cdr:to>
    <cdr:sp macro="" textlink="">
      <cdr:nvSpPr>
        <cdr:cNvPr id="9" name="TextBox 8"/>
        <cdr:cNvSpPr txBox="1"/>
      </cdr:nvSpPr>
      <cdr:spPr>
        <a:xfrm xmlns:a="http://schemas.openxmlformats.org/drawingml/2006/main" rot="16200000">
          <a:off x="1575606" y="3335969"/>
          <a:ext cx="656336" cy="3869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#50</a:t>
          </a:r>
        </a:p>
      </cdr:txBody>
    </cdr:sp>
  </cdr:relSizeAnchor>
  <cdr:relSizeAnchor xmlns:cdr="http://schemas.openxmlformats.org/drawingml/2006/chartDrawing">
    <cdr:from>
      <cdr:x>0.2925</cdr:x>
      <cdr:y>0.84375</cdr:y>
    </cdr:from>
    <cdr:to>
      <cdr:x>0.35709</cdr:x>
      <cdr:y>1</cdr:y>
    </cdr:to>
    <cdr:sp macro="" textlink="">
      <cdr:nvSpPr>
        <cdr:cNvPr id="10" name="TextBox 9"/>
        <cdr:cNvSpPr txBox="1"/>
      </cdr:nvSpPr>
      <cdr:spPr>
        <a:xfrm xmlns:a="http://schemas.openxmlformats.org/drawingml/2006/main" rot="16200000">
          <a:off x="2018878" y="3325541"/>
          <a:ext cx="602754" cy="4614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#30</a:t>
          </a:r>
        </a:p>
      </cdr:txBody>
    </cdr:sp>
  </cdr:relSizeAnchor>
  <cdr:relSizeAnchor xmlns:cdr="http://schemas.openxmlformats.org/drawingml/2006/chartDrawing">
    <cdr:from>
      <cdr:x>0.34604</cdr:x>
      <cdr:y>0.81424</cdr:y>
    </cdr:from>
    <cdr:to>
      <cdr:x>0.41062</cdr:x>
      <cdr:y>1</cdr:y>
    </cdr:to>
    <cdr:sp macro="" textlink="">
      <cdr:nvSpPr>
        <cdr:cNvPr id="11" name="TextBox 10"/>
        <cdr:cNvSpPr txBox="1"/>
      </cdr:nvSpPr>
      <cdr:spPr>
        <a:xfrm xmlns:a="http://schemas.openxmlformats.org/drawingml/2006/main" rot="16200000">
          <a:off x="2344422" y="3268657"/>
          <a:ext cx="716593" cy="46134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#16</a:t>
          </a:r>
        </a:p>
      </cdr:txBody>
    </cdr:sp>
  </cdr:relSizeAnchor>
  <cdr:relSizeAnchor xmlns:cdr="http://schemas.openxmlformats.org/drawingml/2006/chartDrawing">
    <cdr:from>
      <cdr:x>0.39596</cdr:x>
      <cdr:y>0.84722</cdr:y>
    </cdr:from>
    <cdr:to>
      <cdr:x>0.46054</cdr:x>
      <cdr:y>1</cdr:y>
    </cdr:to>
    <cdr:sp macro="" textlink="">
      <cdr:nvSpPr>
        <cdr:cNvPr id="12" name="TextBox 11"/>
        <cdr:cNvSpPr txBox="1"/>
      </cdr:nvSpPr>
      <cdr:spPr>
        <a:xfrm xmlns:a="http://schemas.openxmlformats.org/drawingml/2006/main" rot="16200000">
          <a:off x="2764604" y="3332270"/>
          <a:ext cx="589368" cy="4613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#8</a:t>
          </a:r>
        </a:p>
      </cdr:txBody>
    </cdr:sp>
  </cdr:relSizeAnchor>
  <cdr:relSizeAnchor xmlns:cdr="http://schemas.openxmlformats.org/drawingml/2006/chartDrawing">
    <cdr:from>
      <cdr:x>0.44938</cdr:x>
      <cdr:y>0.86358</cdr:y>
    </cdr:from>
    <cdr:to>
      <cdr:x>0.54104</cdr:x>
      <cdr:y>0.999</cdr:y>
    </cdr:to>
    <cdr:sp macro="" textlink="">
      <cdr:nvSpPr>
        <cdr:cNvPr id="13" name="TextBox 12"/>
        <cdr:cNvSpPr txBox="1"/>
      </cdr:nvSpPr>
      <cdr:spPr>
        <a:xfrm xmlns:a="http://schemas.openxmlformats.org/drawingml/2006/main" rot="16200000">
          <a:off x="3276457" y="3265167"/>
          <a:ext cx="522400" cy="6547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#4</a:t>
          </a:r>
        </a:p>
      </cdr:txBody>
    </cdr:sp>
  </cdr:relSizeAnchor>
  <cdr:relSizeAnchor xmlns:cdr="http://schemas.openxmlformats.org/drawingml/2006/chartDrawing">
    <cdr:from>
      <cdr:x>0.49775</cdr:x>
      <cdr:y>0.85764</cdr:y>
    </cdr:from>
    <cdr:to>
      <cdr:x>0.58316</cdr:x>
      <cdr:y>1</cdr:y>
    </cdr:to>
    <cdr:sp macro="" textlink="">
      <cdr:nvSpPr>
        <cdr:cNvPr id="14" name="TextBox 13"/>
        <cdr:cNvSpPr txBox="1"/>
      </cdr:nvSpPr>
      <cdr:spPr>
        <a:xfrm xmlns:a="http://schemas.openxmlformats.org/drawingml/2006/main" rot="16200000">
          <a:off x="3586314" y="3277966"/>
          <a:ext cx="549172" cy="61014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3/8</a:t>
          </a:r>
        </a:p>
      </cdr:txBody>
    </cdr:sp>
  </cdr:relSizeAnchor>
  <cdr:relSizeAnchor xmlns:cdr="http://schemas.openxmlformats.org/drawingml/2006/chartDrawing">
    <cdr:from>
      <cdr:x>0.54996</cdr:x>
      <cdr:y>0.88194</cdr:y>
    </cdr:from>
    <cdr:to>
      <cdr:x>0.6208</cdr:x>
      <cdr:y>0.99653</cdr:y>
    </cdr:to>
    <cdr:sp macro="" textlink="">
      <cdr:nvSpPr>
        <cdr:cNvPr id="15" name="TextBox 14"/>
        <cdr:cNvSpPr txBox="1"/>
      </cdr:nvSpPr>
      <cdr:spPr>
        <a:xfrm xmlns:a="http://schemas.openxmlformats.org/drawingml/2006/main" rot="16200000">
          <a:off x="3960762" y="3370186"/>
          <a:ext cx="442045" cy="5060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1/2</a:t>
          </a:r>
        </a:p>
      </cdr:txBody>
    </cdr:sp>
  </cdr:relSizeAnchor>
  <cdr:relSizeAnchor xmlns:cdr="http://schemas.openxmlformats.org/drawingml/2006/chartDrawing">
    <cdr:from>
      <cdr:x>0.59554</cdr:x>
      <cdr:y>0.89383</cdr:y>
    </cdr:from>
    <cdr:to>
      <cdr:x>0.63067</cdr:x>
      <cdr:y>0.99753</cdr:y>
    </cdr:to>
    <cdr:sp macro="" textlink="">
      <cdr:nvSpPr>
        <cdr:cNvPr id="16" name="TextBox 15"/>
        <cdr:cNvSpPr txBox="1"/>
      </cdr:nvSpPr>
      <cdr:spPr>
        <a:xfrm xmlns:a="http://schemas.openxmlformats.org/drawingml/2006/main" rot="16200000">
          <a:off x="4179821" y="3522595"/>
          <a:ext cx="400051" cy="2509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3/4</a:t>
          </a:r>
        </a:p>
      </cdr:txBody>
    </cdr:sp>
  </cdr:relSizeAnchor>
  <cdr:relSizeAnchor xmlns:cdr="http://schemas.openxmlformats.org/drawingml/2006/chartDrawing">
    <cdr:from>
      <cdr:x>0.64683</cdr:x>
      <cdr:y>0.89877</cdr:y>
    </cdr:from>
    <cdr:to>
      <cdr:x>0.67733</cdr:x>
      <cdr:y>0.99753</cdr:y>
    </cdr:to>
    <cdr:sp macro="" textlink="">
      <cdr:nvSpPr>
        <cdr:cNvPr id="17" name="TextBox 16"/>
        <cdr:cNvSpPr txBox="1"/>
      </cdr:nvSpPr>
      <cdr:spPr>
        <a:xfrm xmlns:a="http://schemas.openxmlformats.org/drawingml/2006/main" rot="16200000">
          <a:off x="4539260" y="3548656"/>
          <a:ext cx="380998" cy="2178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1in</a:t>
          </a:r>
        </a:p>
      </cdr:txBody>
    </cdr:sp>
  </cdr:relSizeAnchor>
  <cdr:relSizeAnchor xmlns:cdr="http://schemas.openxmlformats.org/drawingml/2006/chartDrawing">
    <cdr:from>
      <cdr:x>0.69655</cdr:x>
      <cdr:y>0.85679</cdr:y>
    </cdr:from>
    <cdr:to>
      <cdr:x>0.72933</cdr:x>
      <cdr:y>0.99012</cdr:y>
    </cdr:to>
    <cdr:sp macro="" textlink="">
      <cdr:nvSpPr>
        <cdr:cNvPr id="18" name="TextBox 17"/>
        <cdr:cNvSpPr txBox="1"/>
      </cdr:nvSpPr>
      <cdr:spPr>
        <a:xfrm xmlns:a="http://schemas.openxmlformats.org/drawingml/2006/main" rot="16200000">
          <a:off x="4835890" y="3445241"/>
          <a:ext cx="514351" cy="234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 1/2</a:t>
          </a:r>
        </a:p>
      </cdr:txBody>
    </cdr:sp>
  </cdr:relSizeAnchor>
  <cdr:relSizeAnchor xmlns:cdr="http://schemas.openxmlformats.org/drawingml/2006/chartDrawing">
    <cdr:from>
      <cdr:x>0.82908</cdr:x>
      <cdr:y>0.90896</cdr:y>
    </cdr:from>
    <cdr:to>
      <cdr:x>0.98232</cdr:x>
      <cdr:y>0.99119</cdr:y>
    </cdr:to>
    <cdr:sp macro="" textlink="">
      <cdr:nvSpPr>
        <cdr:cNvPr id="57" name="TextBox 56"/>
        <cdr:cNvSpPr txBox="1"/>
      </cdr:nvSpPr>
      <cdr:spPr>
        <a:xfrm xmlns:a="http://schemas.openxmlformats.org/drawingml/2006/main">
          <a:off x="4019550" y="2947989"/>
          <a:ext cx="742951"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200" b="1"/>
            <a:t>Sieve</a:t>
          </a:r>
          <a:r>
            <a:rPr lang="en-US" sz="1100" b="1" baseline="0"/>
            <a:t> No.</a:t>
          </a:r>
          <a:endParaRPr lang="en-US" sz="1100" b="1"/>
        </a:p>
      </cdr:txBody>
    </cdr:sp>
  </cdr:relSizeAnchor>
</c:userShapes>
</file>

<file path=xl/drawings/drawing22.xml><?xml version="1.0" encoding="utf-8"?>
<c:userShapes xmlns:c="http://schemas.openxmlformats.org/drawingml/2006/chart">
  <cdr:relSizeAnchor xmlns:cdr="http://schemas.openxmlformats.org/drawingml/2006/chartDrawing">
    <cdr:from>
      <cdr:x>0.8</cdr:x>
      <cdr:y>0.18576</cdr:y>
    </cdr:from>
    <cdr:to>
      <cdr:x>1</cdr:x>
      <cdr:y>0.5191</cdr:y>
    </cdr:to>
    <cdr:sp macro="" textlink="">
      <cdr:nvSpPr>
        <cdr:cNvPr id="6" name="TextBox 5"/>
        <cdr:cNvSpPr txBox="1"/>
      </cdr:nvSpPr>
      <cdr:spPr>
        <a:xfrm xmlns:a="http://schemas.openxmlformats.org/drawingml/2006/main">
          <a:off x="3943350" y="5095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0.13167</cdr:x>
      <cdr:y>0.84375</cdr:y>
    </cdr:from>
    <cdr:to>
      <cdr:x>0.19208</cdr:x>
      <cdr:y>1</cdr:y>
    </cdr:to>
    <cdr:sp macro="" textlink="">
      <cdr:nvSpPr>
        <cdr:cNvPr id="7" name="TextBox 6"/>
        <cdr:cNvSpPr txBox="1"/>
      </cdr:nvSpPr>
      <cdr:spPr>
        <a:xfrm xmlns:a="http://schemas.openxmlformats.org/drawingml/2006/main" rot="16200000">
          <a:off x="855018" y="3340472"/>
          <a:ext cx="602754" cy="43155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#200</a:t>
          </a:r>
        </a:p>
      </cdr:txBody>
    </cdr:sp>
  </cdr:relSizeAnchor>
  <cdr:relSizeAnchor xmlns:cdr="http://schemas.openxmlformats.org/drawingml/2006/chartDrawing">
    <cdr:from>
      <cdr:x>0.1802</cdr:x>
      <cdr:y>0.87901</cdr:y>
    </cdr:from>
    <cdr:to>
      <cdr:x>0.21733</cdr:x>
      <cdr:y>1</cdr:y>
    </cdr:to>
    <cdr:sp macro="" textlink="">
      <cdr:nvSpPr>
        <cdr:cNvPr id="8" name="TextBox 7"/>
        <cdr:cNvSpPr txBox="1"/>
      </cdr:nvSpPr>
      <cdr:spPr>
        <a:xfrm xmlns:a="http://schemas.openxmlformats.org/drawingml/2006/main" rot="16200000">
          <a:off x="1186577" y="3491627"/>
          <a:ext cx="466726" cy="26527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#100</a:t>
          </a:r>
        </a:p>
      </cdr:txBody>
    </cdr:sp>
  </cdr:relSizeAnchor>
  <cdr:relSizeAnchor xmlns:cdr="http://schemas.openxmlformats.org/drawingml/2006/chartDrawing">
    <cdr:from>
      <cdr:x>0.23941</cdr:x>
      <cdr:y>0.82986</cdr:y>
    </cdr:from>
    <cdr:to>
      <cdr:x>0.29358</cdr:x>
      <cdr:y>1</cdr:y>
    </cdr:to>
    <cdr:sp macro="" textlink="">
      <cdr:nvSpPr>
        <cdr:cNvPr id="9" name="TextBox 8"/>
        <cdr:cNvSpPr txBox="1"/>
      </cdr:nvSpPr>
      <cdr:spPr>
        <a:xfrm xmlns:a="http://schemas.openxmlformats.org/drawingml/2006/main" rot="16200000">
          <a:off x="1575606" y="3335969"/>
          <a:ext cx="656336" cy="3869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#50</a:t>
          </a:r>
        </a:p>
      </cdr:txBody>
    </cdr:sp>
  </cdr:relSizeAnchor>
  <cdr:relSizeAnchor xmlns:cdr="http://schemas.openxmlformats.org/drawingml/2006/chartDrawing">
    <cdr:from>
      <cdr:x>0.2925</cdr:x>
      <cdr:y>0.84375</cdr:y>
    </cdr:from>
    <cdr:to>
      <cdr:x>0.35709</cdr:x>
      <cdr:y>1</cdr:y>
    </cdr:to>
    <cdr:sp macro="" textlink="">
      <cdr:nvSpPr>
        <cdr:cNvPr id="10" name="TextBox 9"/>
        <cdr:cNvSpPr txBox="1"/>
      </cdr:nvSpPr>
      <cdr:spPr>
        <a:xfrm xmlns:a="http://schemas.openxmlformats.org/drawingml/2006/main" rot="16200000">
          <a:off x="2018878" y="3325541"/>
          <a:ext cx="602754" cy="4614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#30</a:t>
          </a:r>
        </a:p>
      </cdr:txBody>
    </cdr:sp>
  </cdr:relSizeAnchor>
  <cdr:relSizeAnchor xmlns:cdr="http://schemas.openxmlformats.org/drawingml/2006/chartDrawing">
    <cdr:from>
      <cdr:x>0.34604</cdr:x>
      <cdr:y>0.81424</cdr:y>
    </cdr:from>
    <cdr:to>
      <cdr:x>0.41062</cdr:x>
      <cdr:y>1</cdr:y>
    </cdr:to>
    <cdr:sp macro="" textlink="">
      <cdr:nvSpPr>
        <cdr:cNvPr id="11" name="TextBox 10"/>
        <cdr:cNvSpPr txBox="1"/>
      </cdr:nvSpPr>
      <cdr:spPr>
        <a:xfrm xmlns:a="http://schemas.openxmlformats.org/drawingml/2006/main" rot="16200000">
          <a:off x="2344422" y="3268657"/>
          <a:ext cx="716593" cy="46134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#16</a:t>
          </a:r>
        </a:p>
      </cdr:txBody>
    </cdr:sp>
  </cdr:relSizeAnchor>
  <cdr:relSizeAnchor xmlns:cdr="http://schemas.openxmlformats.org/drawingml/2006/chartDrawing">
    <cdr:from>
      <cdr:x>0.39596</cdr:x>
      <cdr:y>0.84722</cdr:y>
    </cdr:from>
    <cdr:to>
      <cdr:x>0.46054</cdr:x>
      <cdr:y>1</cdr:y>
    </cdr:to>
    <cdr:sp macro="" textlink="">
      <cdr:nvSpPr>
        <cdr:cNvPr id="12" name="TextBox 11"/>
        <cdr:cNvSpPr txBox="1"/>
      </cdr:nvSpPr>
      <cdr:spPr>
        <a:xfrm xmlns:a="http://schemas.openxmlformats.org/drawingml/2006/main" rot="16200000">
          <a:off x="2764604" y="3332270"/>
          <a:ext cx="589368" cy="4613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#8</a:t>
          </a:r>
        </a:p>
      </cdr:txBody>
    </cdr:sp>
  </cdr:relSizeAnchor>
  <cdr:relSizeAnchor xmlns:cdr="http://schemas.openxmlformats.org/drawingml/2006/chartDrawing">
    <cdr:from>
      <cdr:x>0.44938</cdr:x>
      <cdr:y>0.86358</cdr:y>
    </cdr:from>
    <cdr:to>
      <cdr:x>0.54104</cdr:x>
      <cdr:y>0.999</cdr:y>
    </cdr:to>
    <cdr:sp macro="" textlink="">
      <cdr:nvSpPr>
        <cdr:cNvPr id="13" name="TextBox 12"/>
        <cdr:cNvSpPr txBox="1"/>
      </cdr:nvSpPr>
      <cdr:spPr>
        <a:xfrm xmlns:a="http://schemas.openxmlformats.org/drawingml/2006/main" rot="16200000">
          <a:off x="3276457" y="3265167"/>
          <a:ext cx="522400" cy="6547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#4</a:t>
          </a:r>
        </a:p>
      </cdr:txBody>
    </cdr:sp>
  </cdr:relSizeAnchor>
  <cdr:relSizeAnchor xmlns:cdr="http://schemas.openxmlformats.org/drawingml/2006/chartDrawing">
    <cdr:from>
      <cdr:x>0.49775</cdr:x>
      <cdr:y>0.85764</cdr:y>
    </cdr:from>
    <cdr:to>
      <cdr:x>0.58316</cdr:x>
      <cdr:y>1</cdr:y>
    </cdr:to>
    <cdr:sp macro="" textlink="">
      <cdr:nvSpPr>
        <cdr:cNvPr id="14" name="TextBox 13"/>
        <cdr:cNvSpPr txBox="1"/>
      </cdr:nvSpPr>
      <cdr:spPr>
        <a:xfrm xmlns:a="http://schemas.openxmlformats.org/drawingml/2006/main" rot="16200000">
          <a:off x="3586314" y="3277966"/>
          <a:ext cx="549172" cy="61014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3/8</a:t>
          </a:r>
        </a:p>
      </cdr:txBody>
    </cdr:sp>
  </cdr:relSizeAnchor>
  <cdr:relSizeAnchor xmlns:cdr="http://schemas.openxmlformats.org/drawingml/2006/chartDrawing">
    <cdr:from>
      <cdr:x>0.54996</cdr:x>
      <cdr:y>0.88194</cdr:y>
    </cdr:from>
    <cdr:to>
      <cdr:x>0.6208</cdr:x>
      <cdr:y>0.99653</cdr:y>
    </cdr:to>
    <cdr:sp macro="" textlink="">
      <cdr:nvSpPr>
        <cdr:cNvPr id="15" name="TextBox 14"/>
        <cdr:cNvSpPr txBox="1"/>
      </cdr:nvSpPr>
      <cdr:spPr>
        <a:xfrm xmlns:a="http://schemas.openxmlformats.org/drawingml/2006/main" rot="16200000">
          <a:off x="3960762" y="3370186"/>
          <a:ext cx="442045" cy="5060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1/2</a:t>
          </a:r>
        </a:p>
      </cdr:txBody>
    </cdr:sp>
  </cdr:relSizeAnchor>
  <cdr:relSizeAnchor xmlns:cdr="http://schemas.openxmlformats.org/drawingml/2006/chartDrawing">
    <cdr:from>
      <cdr:x>0.59554</cdr:x>
      <cdr:y>0.89383</cdr:y>
    </cdr:from>
    <cdr:to>
      <cdr:x>0.63067</cdr:x>
      <cdr:y>0.99753</cdr:y>
    </cdr:to>
    <cdr:sp macro="" textlink="">
      <cdr:nvSpPr>
        <cdr:cNvPr id="16" name="TextBox 15"/>
        <cdr:cNvSpPr txBox="1"/>
      </cdr:nvSpPr>
      <cdr:spPr>
        <a:xfrm xmlns:a="http://schemas.openxmlformats.org/drawingml/2006/main" rot="16200000">
          <a:off x="4179821" y="3522595"/>
          <a:ext cx="400051" cy="2509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3/4</a:t>
          </a:r>
        </a:p>
      </cdr:txBody>
    </cdr:sp>
  </cdr:relSizeAnchor>
  <cdr:relSizeAnchor xmlns:cdr="http://schemas.openxmlformats.org/drawingml/2006/chartDrawing">
    <cdr:from>
      <cdr:x>0.64683</cdr:x>
      <cdr:y>0.89877</cdr:y>
    </cdr:from>
    <cdr:to>
      <cdr:x>0.67733</cdr:x>
      <cdr:y>0.99753</cdr:y>
    </cdr:to>
    <cdr:sp macro="" textlink="">
      <cdr:nvSpPr>
        <cdr:cNvPr id="17" name="TextBox 16"/>
        <cdr:cNvSpPr txBox="1"/>
      </cdr:nvSpPr>
      <cdr:spPr>
        <a:xfrm xmlns:a="http://schemas.openxmlformats.org/drawingml/2006/main" rot="16200000">
          <a:off x="4539260" y="3548656"/>
          <a:ext cx="380998" cy="2178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1in</a:t>
          </a:r>
        </a:p>
      </cdr:txBody>
    </cdr:sp>
  </cdr:relSizeAnchor>
  <cdr:relSizeAnchor xmlns:cdr="http://schemas.openxmlformats.org/drawingml/2006/chartDrawing">
    <cdr:from>
      <cdr:x>0.69655</cdr:x>
      <cdr:y>0.85679</cdr:y>
    </cdr:from>
    <cdr:to>
      <cdr:x>0.72933</cdr:x>
      <cdr:y>0.99012</cdr:y>
    </cdr:to>
    <cdr:sp macro="" textlink="">
      <cdr:nvSpPr>
        <cdr:cNvPr id="18" name="TextBox 17"/>
        <cdr:cNvSpPr txBox="1"/>
      </cdr:nvSpPr>
      <cdr:spPr>
        <a:xfrm xmlns:a="http://schemas.openxmlformats.org/drawingml/2006/main" rot="16200000">
          <a:off x="4835890" y="3445241"/>
          <a:ext cx="514351" cy="234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 1/2</a:t>
          </a:r>
        </a:p>
      </cdr:txBody>
    </cdr:sp>
  </cdr:relSizeAnchor>
  <cdr:relSizeAnchor xmlns:cdr="http://schemas.openxmlformats.org/drawingml/2006/chartDrawing">
    <cdr:from>
      <cdr:x>0.82908</cdr:x>
      <cdr:y>0.90896</cdr:y>
    </cdr:from>
    <cdr:to>
      <cdr:x>0.98232</cdr:x>
      <cdr:y>0.99119</cdr:y>
    </cdr:to>
    <cdr:sp macro="" textlink="">
      <cdr:nvSpPr>
        <cdr:cNvPr id="57" name="TextBox 56"/>
        <cdr:cNvSpPr txBox="1"/>
      </cdr:nvSpPr>
      <cdr:spPr>
        <a:xfrm xmlns:a="http://schemas.openxmlformats.org/drawingml/2006/main">
          <a:off x="4019550" y="2947989"/>
          <a:ext cx="742951"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200" b="1"/>
            <a:t>Sieve</a:t>
          </a:r>
          <a:r>
            <a:rPr lang="en-US" sz="1100" b="1" baseline="0"/>
            <a:t> No.</a:t>
          </a:r>
          <a:endParaRPr lang="en-US" sz="1100" b="1"/>
        </a:p>
      </cdr:txBody>
    </cdr:sp>
  </cdr:relSizeAnchor>
</c:userShapes>
</file>

<file path=xl/drawings/drawing23.xml><?xml version="1.0" encoding="utf-8"?>
<c:userShapes xmlns:c="http://schemas.openxmlformats.org/drawingml/2006/chart">
  <cdr:relSizeAnchor xmlns:cdr="http://schemas.openxmlformats.org/drawingml/2006/chartDrawing">
    <cdr:from>
      <cdr:x>0.83505</cdr:x>
      <cdr:y>0.70865</cdr:y>
    </cdr:from>
    <cdr:to>
      <cdr:x>1</cdr:x>
      <cdr:y>1</cdr:y>
    </cdr:to>
    <cdr:sp macro="" textlink="">
      <cdr:nvSpPr>
        <cdr:cNvPr id="2" name="TextBox 1"/>
        <cdr:cNvSpPr txBox="1"/>
      </cdr:nvSpPr>
      <cdr:spPr>
        <a:xfrm xmlns:a="http://schemas.openxmlformats.org/drawingml/2006/main">
          <a:off x="4876800" y="28289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0.80241</cdr:x>
      <cdr:y>0.03945</cdr:y>
    </cdr:from>
    <cdr:to>
      <cdr:x>0.95017</cdr:x>
      <cdr:y>0.13657</cdr:y>
    </cdr:to>
    <cdr:sp macro="" textlink="">
      <cdr:nvSpPr>
        <cdr:cNvPr id="3" name="TextBox 2"/>
        <cdr:cNvSpPr txBox="1"/>
      </cdr:nvSpPr>
      <cdr:spPr>
        <a:xfrm xmlns:a="http://schemas.openxmlformats.org/drawingml/2006/main">
          <a:off x="4448175" y="123825"/>
          <a:ext cx="819150" cy="3048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NMS(D)=1in</a:t>
          </a:r>
        </a:p>
      </cdr:txBody>
    </cdr:sp>
  </cdr:relSizeAnchor>
  <cdr:relSizeAnchor xmlns:cdr="http://schemas.openxmlformats.org/drawingml/2006/chartDrawing">
    <cdr:from>
      <cdr:x>0.46374</cdr:x>
      <cdr:y>0.88187</cdr:y>
    </cdr:from>
    <cdr:to>
      <cdr:x>0.50759</cdr:x>
      <cdr:y>1</cdr:y>
    </cdr:to>
    <cdr:sp macro="" textlink="">
      <cdr:nvSpPr>
        <cdr:cNvPr id="4" name="TextBox 3"/>
        <cdr:cNvSpPr txBox="1"/>
      </cdr:nvSpPr>
      <cdr:spPr>
        <a:xfrm xmlns:a="http://schemas.openxmlformats.org/drawingml/2006/main" rot="16200000">
          <a:off x="2922371" y="3121155"/>
          <a:ext cx="409575" cy="28231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.75</a:t>
          </a:r>
        </a:p>
      </cdr:txBody>
    </cdr:sp>
  </cdr:relSizeAnchor>
  <cdr:relSizeAnchor xmlns:cdr="http://schemas.openxmlformats.org/drawingml/2006/chartDrawing">
    <cdr:from>
      <cdr:x>0.39708</cdr:x>
      <cdr:y>0.89918</cdr:y>
    </cdr:from>
    <cdr:to>
      <cdr:x>0.4254</cdr:x>
      <cdr:y>0.98802</cdr:y>
    </cdr:to>
    <cdr:sp macro="" textlink="">
      <cdr:nvSpPr>
        <cdr:cNvPr id="5" name="TextBox 4"/>
        <cdr:cNvSpPr txBox="1"/>
      </cdr:nvSpPr>
      <cdr:spPr>
        <a:xfrm xmlns:a="http://schemas.openxmlformats.org/drawingml/2006/main" rot="16200000">
          <a:off x="2527893" y="3206157"/>
          <a:ext cx="310557" cy="1847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.5</a:t>
          </a:r>
        </a:p>
      </cdr:txBody>
    </cdr:sp>
  </cdr:relSizeAnchor>
  <cdr:relSizeAnchor xmlns:cdr="http://schemas.openxmlformats.org/drawingml/2006/chartDrawing">
    <cdr:from>
      <cdr:x>0.35037</cdr:x>
      <cdr:y>0.89918</cdr:y>
    </cdr:from>
    <cdr:to>
      <cdr:x>0.39854</cdr:x>
      <cdr:y>1</cdr:y>
    </cdr:to>
    <cdr:sp macro="" textlink="">
      <cdr:nvSpPr>
        <cdr:cNvPr id="6" name="TextBox 5"/>
        <cdr:cNvSpPr txBox="1"/>
      </cdr:nvSpPr>
      <cdr:spPr>
        <a:xfrm xmlns:a="http://schemas.openxmlformats.org/drawingml/2006/main" rot="16200000">
          <a:off x="2266951" y="3162300"/>
          <a:ext cx="352425" cy="314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3/8</a:t>
          </a:r>
        </a:p>
      </cdr:txBody>
    </cdr:sp>
  </cdr:relSizeAnchor>
  <cdr:relSizeAnchor xmlns:cdr="http://schemas.openxmlformats.org/drawingml/2006/chartDrawing">
    <cdr:from>
      <cdr:x>0.27286</cdr:x>
      <cdr:y>0.88615</cdr:y>
    </cdr:from>
    <cdr:to>
      <cdr:x>0.33527</cdr:x>
      <cdr:y>0.99734</cdr:y>
    </cdr:to>
    <cdr:sp macro="" textlink="">
      <cdr:nvSpPr>
        <cdr:cNvPr id="7" name="TextBox 6"/>
        <cdr:cNvSpPr txBox="1"/>
      </cdr:nvSpPr>
      <cdr:spPr>
        <a:xfrm xmlns:a="http://schemas.openxmlformats.org/drawingml/2006/main" rot="16200000">
          <a:off x="1796373" y="3167970"/>
          <a:ext cx="398234" cy="4095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#4</a:t>
          </a:r>
        </a:p>
      </cdr:txBody>
    </cdr:sp>
  </cdr:relSizeAnchor>
  <cdr:relSizeAnchor xmlns:cdr="http://schemas.openxmlformats.org/drawingml/2006/chartDrawing">
    <cdr:from>
      <cdr:x>0.86067</cdr:x>
      <cdr:y>0.74468</cdr:y>
    </cdr:from>
    <cdr:to>
      <cdr:x>1</cdr:x>
      <cdr:y>1</cdr:y>
    </cdr:to>
    <cdr:sp macro="" textlink="">
      <cdr:nvSpPr>
        <cdr:cNvPr id="8" name="TextBox 7"/>
        <cdr:cNvSpPr txBox="1"/>
      </cdr:nvSpPr>
      <cdr:spPr>
        <a:xfrm xmlns:a="http://schemas.openxmlformats.org/drawingml/2006/main">
          <a:off x="5924551" y="295275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0.2119</cdr:x>
      <cdr:y>0.89894</cdr:y>
    </cdr:from>
    <cdr:to>
      <cdr:x>0.25689</cdr:x>
      <cdr:y>1</cdr:y>
    </cdr:to>
    <cdr:sp macro="" textlink="">
      <cdr:nvSpPr>
        <cdr:cNvPr id="9" name="TextBox 8"/>
        <cdr:cNvSpPr txBox="1"/>
      </cdr:nvSpPr>
      <cdr:spPr>
        <a:xfrm xmlns:a="http://schemas.openxmlformats.org/drawingml/2006/main" rot="16200000">
          <a:off x="1357314" y="3252788"/>
          <a:ext cx="361950" cy="2952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#8</a:t>
          </a:r>
        </a:p>
      </cdr:txBody>
    </cdr:sp>
  </cdr:relSizeAnchor>
  <cdr:relSizeAnchor xmlns:cdr="http://schemas.openxmlformats.org/drawingml/2006/chartDrawing">
    <cdr:from>
      <cdr:x>0.17199</cdr:x>
      <cdr:y>0.89628</cdr:y>
    </cdr:from>
    <cdr:to>
      <cdr:x>0.21843</cdr:x>
      <cdr:y>1</cdr:y>
    </cdr:to>
    <cdr:sp macro="" textlink="">
      <cdr:nvSpPr>
        <cdr:cNvPr id="10" name="TextBox 9"/>
        <cdr:cNvSpPr txBox="1"/>
      </cdr:nvSpPr>
      <cdr:spPr>
        <a:xfrm xmlns:a="http://schemas.openxmlformats.org/drawingml/2006/main" rot="16200000">
          <a:off x="1095376" y="3243263"/>
          <a:ext cx="371475" cy="3048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#16</a:t>
          </a:r>
        </a:p>
      </cdr:txBody>
    </cdr:sp>
  </cdr:relSizeAnchor>
  <cdr:relSizeAnchor xmlns:cdr="http://schemas.openxmlformats.org/drawingml/2006/chartDrawing">
    <cdr:from>
      <cdr:x>0.13788</cdr:x>
      <cdr:y>0.89362</cdr:y>
    </cdr:from>
    <cdr:to>
      <cdr:x>0.18142</cdr:x>
      <cdr:y>1</cdr:y>
    </cdr:to>
    <cdr:sp macro="" textlink="">
      <cdr:nvSpPr>
        <cdr:cNvPr id="11" name="TextBox 10"/>
        <cdr:cNvSpPr txBox="1"/>
      </cdr:nvSpPr>
      <cdr:spPr>
        <a:xfrm xmlns:a="http://schemas.openxmlformats.org/drawingml/2006/main" rot="16200000">
          <a:off x="857251" y="3248026"/>
          <a:ext cx="3810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#30</a:t>
          </a:r>
        </a:p>
      </cdr:txBody>
    </cdr:sp>
  </cdr:relSizeAnchor>
  <cdr:relSizeAnchor xmlns:cdr="http://schemas.openxmlformats.org/drawingml/2006/chartDrawing">
    <cdr:from>
      <cdr:x>0.11321</cdr:x>
      <cdr:y>0.88298</cdr:y>
    </cdr:from>
    <cdr:to>
      <cdr:x>0.15675</cdr:x>
      <cdr:y>1</cdr:y>
    </cdr:to>
    <cdr:sp macro="" textlink="">
      <cdr:nvSpPr>
        <cdr:cNvPr id="12" name="TextBox 11"/>
        <cdr:cNvSpPr txBox="1"/>
      </cdr:nvSpPr>
      <cdr:spPr>
        <a:xfrm xmlns:a="http://schemas.openxmlformats.org/drawingml/2006/main" rot="16200000">
          <a:off x="676276" y="3228975"/>
          <a:ext cx="4191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#50</a:t>
          </a:r>
        </a:p>
      </cdr:txBody>
    </cdr:sp>
  </cdr:relSizeAnchor>
  <cdr:relSizeAnchor xmlns:cdr="http://schemas.openxmlformats.org/drawingml/2006/chartDrawing">
    <cdr:from>
      <cdr:x>0.09144</cdr:x>
      <cdr:y>0.86436</cdr:y>
    </cdr:from>
    <cdr:to>
      <cdr:x>0.13933</cdr:x>
      <cdr:y>1</cdr:y>
    </cdr:to>
    <cdr:sp macro="" textlink="">
      <cdr:nvSpPr>
        <cdr:cNvPr id="13" name="TextBox 12"/>
        <cdr:cNvSpPr txBox="1"/>
      </cdr:nvSpPr>
      <cdr:spPr>
        <a:xfrm xmlns:a="http://schemas.openxmlformats.org/drawingml/2006/main" rot="16200000">
          <a:off x="514351" y="3181351"/>
          <a:ext cx="485775" cy="314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i="0"/>
            <a:t>#100</a:t>
          </a:r>
        </a:p>
      </cdr:txBody>
    </cdr:sp>
  </cdr:relSizeAnchor>
  <cdr:relSizeAnchor xmlns:cdr="http://schemas.openxmlformats.org/drawingml/2006/chartDrawing">
    <cdr:from>
      <cdr:x>0.51669</cdr:x>
      <cdr:y>0.89096</cdr:y>
    </cdr:from>
    <cdr:to>
      <cdr:x>0.56459</cdr:x>
      <cdr:y>1</cdr:y>
    </cdr:to>
    <cdr:sp macro="" textlink="">
      <cdr:nvSpPr>
        <cdr:cNvPr id="14" name="TextBox 13"/>
        <cdr:cNvSpPr txBox="1"/>
      </cdr:nvSpPr>
      <cdr:spPr>
        <a:xfrm xmlns:a="http://schemas.openxmlformats.org/drawingml/2006/main" rot="16200000">
          <a:off x="3352801" y="3228976"/>
          <a:ext cx="390525" cy="314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1in</a:t>
          </a:r>
        </a:p>
      </cdr:txBody>
    </cdr:sp>
  </cdr:relSizeAnchor>
  <cdr:relSizeAnchor xmlns:cdr="http://schemas.openxmlformats.org/drawingml/2006/chartDrawing">
    <cdr:from>
      <cdr:x>0.61516</cdr:x>
      <cdr:y>0.85118</cdr:y>
    </cdr:from>
    <cdr:to>
      <cdr:x>0.64769</cdr:x>
      <cdr:y>1</cdr:y>
    </cdr:to>
    <cdr:sp macro="" textlink="">
      <cdr:nvSpPr>
        <cdr:cNvPr id="15" name="TextBox 14"/>
        <cdr:cNvSpPr txBox="1"/>
      </cdr:nvSpPr>
      <cdr:spPr>
        <a:xfrm xmlns:a="http://schemas.openxmlformats.org/drawingml/2006/main" rot="16200000">
          <a:off x="4790836" y="3343035"/>
          <a:ext cx="558492" cy="26113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1.5in</a:t>
          </a:r>
        </a:p>
      </cdr:txBody>
    </cdr:sp>
  </cdr:relSizeAnchor>
</c:userShapes>
</file>

<file path=xl/drawings/drawing24.xml><?xml version="1.0" encoding="utf-8"?>
<c:userShapes xmlns:c="http://schemas.openxmlformats.org/drawingml/2006/chart">
  <cdr:relSizeAnchor xmlns:cdr="http://schemas.openxmlformats.org/drawingml/2006/chartDrawing">
    <cdr:from>
      <cdr:x>0.83505</cdr:x>
      <cdr:y>0.70865</cdr:y>
    </cdr:from>
    <cdr:to>
      <cdr:x>1</cdr:x>
      <cdr:y>1</cdr:y>
    </cdr:to>
    <cdr:sp macro="" textlink="">
      <cdr:nvSpPr>
        <cdr:cNvPr id="2" name="TextBox 1"/>
        <cdr:cNvSpPr txBox="1"/>
      </cdr:nvSpPr>
      <cdr:spPr>
        <a:xfrm xmlns:a="http://schemas.openxmlformats.org/drawingml/2006/main">
          <a:off x="4876800" y="28289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0.80241</cdr:x>
      <cdr:y>0.03945</cdr:y>
    </cdr:from>
    <cdr:to>
      <cdr:x>0.95017</cdr:x>
      <cdr:y>0.13657</cdr:y>
    </cdr:to>
    <cdr:sp macro="" textlink="">
      <cdr:nvSpPr>
        <cdr:cNvPr id="3" name="TextBox 2"/>
        <cdr:cNvSpPr txBox="1"/>
      </cdr:nvSpPr>
      <cdr:spPr>
        <a:xfrm xmlns:a="http://schemas.openxmlformats.org/drawingml/2006/main">
          <a:off x="4448175" y="123825"/>
          <a:ext cx="819150" cy="3048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NMS(D)=1in</a:t>
          </a:r>
        </a:p>
      </cdr:txBody>
    </cdr:sp>
  </cdr:relSizeAnchor>
  <cdr:relSizeAnchor xmlns:cdr="http://schemas.openxmlformats.org/drawingml/2006/chartDrawing">
    <cdr:from>
      <cdr:x>0.46374</cdr:x>
      <cdr:y>0.88187</cdr:y>
    </cdr:from>
    <cdr:to>
      <cdr:x>0.50759</cdr:x>
      <cdr:y>1</cdr:y>
    </cdr:to>
    <cdr:sp macro="" textlink="">
      <cdr:nvSpPr>
        <cdr:cNvPr id="4" name="TextBox 3"/>
        <cdr:cNvSpPr txBox="1"/>
      </cdr:nvSpPr>
      <cdr:spPr>
        <a:xfrm xmlns:a="http://schemas.openxmlformats.org/drawingml/2006/main" rot="16200000">
          <a:off x="2922371" y="3121155"/>
          <a:ext cx="409575" cy="28231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.75</a:t>
          </a:r>
        </a:p>
      </cdr:txBody>
    </cdr:sp>
  </cdr:relSizeAnchor>
  <cdr:relSizeAnchor xmlns:cdr="http://schemas.openxmlformats.org/drawingml/2006/chartDrawing">
    <cdr:from>
      <cdr:x>0.39708</cdr:x>
      <cdr:y>0.89918</cdr:y>
    </cdr:from>
    <cdr:to>
      <cdr:x>0.4254</cdr:x>
      <cdr:y>0.98802</cdr:y>
    </cdr:to>
    <cdr:sp macro="" textlink="">
      <cdr:nvSpPr>
        <cdr:cNvPr id="5" name="TextBox 4"/>
        <cdr:cNvSpPr txBox="1"/>
      </cdr:nvSpPr>
      <cdr:spPr>
        <a:xfrm xmlns:a="http://schemas.openxmlformats.org/drawingml/2006/main" rot="16200000">
          <a:off x="2527893" y="3206157"/>
          <a:ext cx="310557" cy="1847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.5</a:t>
          </a:r>
        </a:p>
      </cdr:txBody>
    </cdr:sp>
  </cdr:relSizeAnchor>
  <cdr:relSizeAnchor xmlns:cdr="http://schemas.openxmlformats.org/drawingml/2006/chartDrawing">
    <cdr:from>
      <cdr:x>0.35037</cdr:x>
      <cdr:y>0.89918</cdr:y>
    </cdr:from>
    <cdr:to>
      <cdr:x>0.39854</cdr:x>
      <cdr:y>1</cdr:y>
    </cdr:to>
    <cdr:sp macro="" textlink="">
      <cdr:nvSpPr>
        <cdr:cNvPr id="6" name="TextBox 5"/>
        <cdr:cNvSpPr txBox="1"/>
      </cdr:nvSpPr>
      <cdr:spPr>
        <a:xfrm xmlns:a="http://schemas.openxmlformats.org/drawingml/2006/main" rot="16200000">
          <a:off x="2266951" y="3162300"/>
          <a:ext cx="352425" cy="314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3/8</a:t>
          </a:r>
        </a:p>
      </cdr:txBody>
    </cdr:sp>
  </cdr:relSizeAnchor>
  <cdr:relSizeAnchor xmlns:cdr="http://schemas.openxmlformats.org/drawingml/2006/chartDrawing">
    <cdr:from>
      <cdr:x>0.27286</cdr:x>
      <cdr:y>0.88615</cdr:y>
    </cdr:from>
    <cdr:to>
      <cdr:x>0.33527</cdr:x>
      <cdr:y>0.99734</cdr:y>
    </cdr:to>
    <cdr:sp macro="" textlink="">
      <cdr:nvSpPr>
        <cdr:cNvPr id="7" name="TextBox 6"/>
        <cdr:cNvSpPr txBox="1"/>
      </cdr:nvSpPr>
      <cdr:spPr>
        <a:xfrm xmlns:a="http://schemas.openxmlformats.org/drawingml/2006/main" rot="16200000">
          <a:off x="1796373" y="3167970"/>
          <a:ext cx="398234" cy="4095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#4</a:t>
          </a:r>
        </a:p>
      </cdr:txBody>
    </cdr:sp>
  </cdr:relSizeAnchor>
  <cdr:relSizeAnchor xmlns:cdr="http://schemas.openxmlformats.org/drawingml/2006/chartDrawing">
    <cdr:from>
      <cdr:x>0.86067</cdr:x>
      <cdr:y>0.74468</cdr:y>
    </cdr:from>
    <cdr:to>
      <cdr:x>1</cdr:x>
      <cdr:y>1</cdr:y>
    </cdr:to>
    <cdr:sp macro="" textlink="">
      <cdr:nvSpPr>
        <cdr:cNvPr id="8" name="TextBox 7"/>
        <cdr:cNvSpPr txBox="1"/>
      </cdr:nvSpPr>
      <cdr:spPr>
        <a:xfrm xmlns:a="http://schemas.openxmlformats.org/drawingml/2006/main">
          <a:off x="5924551" y="295275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0.2119</cdr:x>
      <cdr:y>0.89894</cdr:y>
    </cdr:from>
    <cdr:to>
      <cdr:x>0.25689</cdr:x>
      <cdr:y>1</cdr:y>
    </cdr:to>
    <cdr:sp macro="" textlink="">
      <cdr:nvSpPr>
        <cdr:cNvPr id="9" name="TextBox 8"/>
        <cdr:cNvSpPr txBox="1"/>
      </cdr:nvSpPr>
      <cdr:spPr>
        <a:xfrm xmlns:a="http://schemas.openxmlformats.org/drawingml/2006/main" rot="16200000">
          <a:off x="1357314" y="3252788"/>
          <a:ext cx="361950" cy="2952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#8</a:t>
          </a:r>
        </a:p>
      </cdr:txBody>
    </cdr:sp>
  </cdr:relSizeAnchor>
  <cdr:relSizeAnchor xmlns:cdr="http://schemas.openxmlformats.org/drawingml/2006/chartDrawing">
    <cdr:from>
      <cdr:x>0.17199</cdr:x>
      <cdr:y>0.89628</cdr:y>
    </cdr:from>
    <cdr:to>
      <cdr:x>0.21843</cdr:x>
      <cdr:y>1</cdr:y>
    </cdr:to>
    <cdr:sp macro="" textlink="">
      <cdr:nvSpPr>
        <cdr:cNvPr id="10" name="TextBox 9"/>
        <cdr:cNvSpPr txBox="1"/>
      </cdr:nvSpPr>
      <cdr:spPr>
        <a:xfrm xmlns:a="http://schemas.openxmlformats.org/drawingml/2006/main" rot="16200000">
          <a:off x="1095376" y="3243263"/>
          <a:ext cx="371475" cy="3048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#16</a:t>
          </a:r>
        </a:p>
      </cdr:txBody>
    </cdr:sp>
  </cdr:relSizeAnchor>
  <cdr:relSizeAnchor xmlns:cdr="http://schemas.openxmlformats.org/drawingml/2006/chartDrawing">
    <cdr:from>
      <cdr:x>0.13788</cdr:x>
      <cdr:y>0.89362</cdr:y>
    </cdr:from>
    <cdr:to>
      <cdr:x>0.18142</cdr:x>
      <cdr:y>1</cdr:y>
    </cdr:to>
    <cdr:sp macro="" textlink="">
      <cdr:nvSpPr>
        <cdr:cNvPr id="11" name="TextBox 10"/>
        <cdr:cNvSpPr txBox="1"/>
      </cdr:nvSpPr>
      <cdr:spPr>
        <a:xfrm xmlns:a="http://schemas.openxmlformats.org/drawingml/2006/main" rot="16200000">
          <a:off x="857251" y="3248026"/>
          <a:ext cx="3810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#30</a:t>
          </a:r>
        </a:p>
      </cdr:txBody>
    </cdr:sp>
  </cdr:relSizeAnchor>
  <cdr:relSizeAnchor xmlns:cdr="http://schemas.openxmlformats.org/drawingml/2006/chartDrawing">
    <cdr:from>
      <cdr:x>0.11321</cdr:x>
      <cdr:y>0.88298</cdr:y>
    </cdr:from>
    <cdr:to>
      <cdr:x>0.15675</cdr:x>
      <cdr:y>1</cdr:y>
    </cdr:to>
    <cdr:sp macro="" textlink="">
      <cdr:nvSpPr>
        <cdr:cNvPr id="12" name="TextBox 11"/>
        <cdr:cNvSpPr txBox="1"/>
      </cdr:nvSpPr>
      <cdr:spPr>
        <a:xfrm xmlns:a="http://schemas.openxmlformats.org/drawingml/2006/main" rot="16200000">
          <a:off x="676276" y="3228975"/>
          <a:ext cx="4191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#50</a:t>
          </a:r>
        </a:p>
      </cdr:txBody>
    </cdr:sp>
  </cdr:relSizeAnchor>
  <cdr:relSizeAnchor xmlns:cdr="http://schemas.openxmlformats.org/drawingml/2006/chartDrawing">
    <cdr:from>
      <cdr:x>0.09144</cdr:x>
      <cdr:y>0.86436</cdr:y>
    </cdr:from>
    <cdr:to>
      <cdr:x>0.13933</cdr:x>
      <cdr:y>1</cdr:y>
    </cdr:to>
    <cdr:sp macro="" textlink="">
      <cdr:nvSpPr>
        <cdr:cNvPr id="13" name="TextBox 12"/>
        <cdr:cNvSpPr txBox="1"/>
      </cdr:nvSpPr>
      <cdr:spPr>
        <a:xfrm xmlns:a="http://schemas.openxmlformats.org/drawingml/2006/main" rot="16200000">
          <a:off x="514351" y="3181351"/>
          <a:ext cx="485775" cy="314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i="0"/>
            <a:t>#100</a:t>
          </a:r>
        </a:p>
      </cdr:txBody>
    </cdr:sp>
  </cdr:relSizeAnchor>
  <cdr:relSizeAnchor xmlns:cdr="http://schemas.openxmlformats.org/drawingml/2006/chartDrawing">
    <cdr:from>
      <cdr:x>0.51669</cdr:x>
      <cdr:y>0.89096</cdr:y>
    </cdr:from>
    <cdr:to>
      <cdr:x>0.56459</cdr:x>
      <cdr:y>1</cdr:y>
    </cdr:to>
    <cdr:sp macro="" textlink="">
      <cdr:nvSpPr>
        <cdr:cNvPr id="14" name="TextBox 13"/>
        <cdr:cNvSpPr txBox="1"/>
      </cdr:nvSpPr>
      <cdr:spPr>
        <a:xfrm xmlns:a="http://schemas.openxmlformats.org/drawingml/2006/main" rot="16200000">
          <a:off x="3352801" y="3228976"/>
          <a:ext cx="390525" cy="314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1in</a:t>
          </a:r>
        </a:p>
      </cdr:txBody>
    </cdr:sp>
  </cdr:relSizeAnchor>
  <cdr:relSizeAnchor xmlns:cdr="http://schemas.openxmlformats.org/drawingml/2006/chartDrawing">
    <cdr:from>
      <cdr:x>0.61516</cdr:x>
      <cdr:y>0.85118</cdr:y>
    </cdr:from>
    <cdr:to>
      <cdr:x>0.64769</cdr:x>
      <cdr:y>1</cdr:y>
    </cdr:to>
    <cdr:sp macro="" textlink="">
      <cdr:nvSpPr>
        <cdr:cNvPr id="15" name="TextBox 14"/>
        <cdr:cNvSpPr txBox="1"/>
      </cdr:nvSpPr>
      <cdr:spPr>
        <a:xfrm xmlns:a="http://schemas.openxmlformats.org/drawingml/2006/main" rot="16200000">
          <a:off x="4790836" y="3343035"/>
          <a:ext cx="558492" cy="26113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1.5in</a:t>
          </a:r>
        </a:p>
      </cdr:txBody>
    </cdr:sp>
  </cdr:relSizeAnchor>
</c:userShapes>
</file>

<file path=xl/drawings/drawing25.xml><?xml version="1.0" encoding="utf-8"?>
<c:userShapes xmlns:c="http://schemas.openxmlformats.org/drawingml/2006/chart">
  <cdr:relSizeAnchor xmlns:cdr="http://schemas.openxmlformats.org/drawingml/2006/chartDrawing">
    <cdr:from>
      <cdr:x>0.83505</cdr:x>
      <cdr:y>0.70865</cdr:y>
    </cdr:from>
    <cdr:to>
      <cdr:x>1</cdr:x>
      <cdr:y>1</cdr:y>
    </cdr:to>
    <cdr:sp macro="" textlink="">
      <cdr:nvSpPr>
        <cdr:cNvPr id="2" name="TextBox 1"/>
        <cdr:cNvSpPr txBox="1"/>
      </cdr:nvSpPr>
      <cdr:spPr>
        <a:xfrm xmlns:a="http://schemas.openxmlformats.org/drawingml/2006/main">
          <a:off x="4876800" y="28289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0.80241</cdr:x>
      <cdr:y>0.03945</cdr:y>
    </cdr:from>
    <cdr:to>
      <cdr:x>0.95017</cdr:x>
      <cdr:y>0.13657</cdr:y>
    </cdr:to>
    <cdr:sp macro="" textlink="">
      <cdr:nvSpPr>
        <cdr:cNvPr id="3" name="TextBox 2"/>
        <cdr:cNvSpPr txBox="1"/>
      </cdr:nvSpPr>
      <cdr:spPr>
        <a:xfrm xmlns:a="http://schemas.openxmlformats.org/drawingml/2006/main">
          <a:off x="4448175" y="123825"/>
          <a:ext cx="819150" cy="3048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NMS(D)=1in</a:t>
          </a:r>
        </a:p>
      </cdr:txBody>
    </cdr:sp>
  </cdr:relSizeAnchor>
  <cdr:relSizeAnchor xmlns:cdr="http://schemas.openxmlformats.org/drawingml/2006/chartDrawing">
    <cdr:from>
      <cdr:x>0.46374</cdr:x>
      <cdr:y>0.88187</cdr:y>
    </cdr:from>
    <cdr:to>
      <cdr:x>0.50759</cdr:x>
      <cdr:y>1</cdr:y>
    </cdr:to>
    <cdr:sp macro="" textlink="">
      <cdr:nvSpPr>
        <cdr:cNvPr id="4" name="TextBox 3"/>
        <cdr:cNvSpPr txBox="1"/>
      </cdr:nvSpPr>
      <cdr:spPr>
        <a:xfrm xmlns:a="http://schemas.openxmlformats.org/drawingml/2006/main" rot="16200000">
          <a:off x="2922371" y="3121155"/>
          <a:ext cx="409575" cy="28231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.75</a:t>
          </a:r>
        </a:p>
      </cdr:txBody>
    </cdr:sp>
  </cdr:relSizeAnchor>
  <cdr:relSizeAnchor xmlns:cdr="http://schemas.openxmlformats.org/drawingml/2006/chartDrawing">
    <cdr:from>
      <cdr:x>0.39708</cdr:x>
      <cdr:y>0.89918</cdr:y>
    </cdr:from>
    <cdr:to>
      <cdr:x>0.4254</cdr:x>
      <cdr:y>0.98802</cdr:y>
    </cdr:to>
    <cdr:sp macro="" textlink="">
      <cdr:nvSpPr>
        <cdr:cNvPr id="5" name="TextBox 4"/>
        <cdr:cNvSpPr txBox="1"/>
      </cdr:nvSpPr>
      <cdr:spPr>
        <a:xfrm xmlns:a="http://schemas.openxmlformats.org/drawingml/2006/main" rot="16200000">
          <a:off x="2527893" y="3206157"/>
          <a:ext cx="310557" cy="1847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.5</a:t>
          </a:r>
        </a:p>
      </cdr:txBody>
    </cdr:sp>
  </cdr:relSizeAnchor>
  <cdr:relSizeAnchor xmlns:cdr="http://schemas.openxmlformats.org/drawingml/2006/chartDrawing">
    <cdr:from>
      <cdr:x>0.35037</cdr:x>
      <cdr:y>0.89918</cdr:y>
    </cdr:from>
    <cdr:to>
      <cdr:x>0.39854</cdr:x>
      <cdr:y>1</cdr:y>
    </cdr:to>
    <cdr:sp macro="" textlink="">
      <cdr:nvSpPr>
        <cdr:cNvPr id="6" name="TextBox 5"/>
        <cdr:cNvSpPr txBox="1"/>
      </cdr:nvSpPr>
      <cdr:spPr>
        <a:xfrm xmlns:a="http://schemas.openxmlformats.org/drawingml/2006/main" rot="16200000">
          <a:off x="2266951" y="3162300"/>
          <a:ext cx="352425" cy="314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3/8</a:t>
          </a:r>
        </a:p>
      </cdr:txBody>
    </cdr:sp>
  </cdr:relSizeAnchor>
  <cdr:relSizeAnchor xmlns:cdr="http://schemas.openxmlformats.org/drawingml/2006/chartDrawing">
    <cdr:from>
      <cdr:x>0.27286</cdr:x>
      <cdr:y>0.88615</cdr:y>
    </cdr:from>
    <cdr:to>
      <cdr:x>0.33527</cdr:x>
      <cdr:y>0.99734</cdr:y>
    </cdr:to>
    <cdr:sp macro="" textlink="">
      <cdr:nvSpPr>
        <cdr:cNvPr id="7" name="TextBox 6"/>
        <cdr:cNvSpPr txBox="1"/>
      </cdr:nvSpPr>
      <cdr:spPr>
        <a:xfrm xmlns:a="http://schemas.openxmlformats.org/drawingml/2006/main" rot="16200000">
          <a:off x="1796373" y="3167970"/>
          <a:ext cx="398234" cy="4095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#4</a:t>
          </a:r>
        </a:p>
      </cdr:txBody>
    </cdr:sp>
  </cdr:relSizeAnchor>
  <cdr:relSizeAnchor xmlns:cdr="http://schemas.openxmlformats.org/drawingml/2006/chartDrawing">
    <cdr:from>
      <cdr:x>0.86067</cdr:x>
      <cdr:y>0.74468</cdr:y>
    </cdr:from>
    <cdr:to>
      <cdr:x>1</cdr:x>
      <cdr:y>1</cdr:y>
    </cdr:to>
    <cdr:sp macro="" textlink="">
      <cdr:nvSpPr>
        <cdr:cNvPr id="8" name="TextBox 7"/>
        <cdr:cNvSpPr txBox="1"/>
      </cdr:nvSpPr>
      <cdr:spPr>
        <a:xfrm xmlns:a="http://schemas.openxmlformats.org/drawingml/2006/main">
          <a:off x="5924551" y="295275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0.2119</cdr:x>
      <cdr:y>0.89894</cdr:y>
    </cdr:from>
    <cdr:to>
      <cdr:x>0.25689</cdr:x>
      <cdr:y>1</cdr:y>
    </cdr:to>
    <cdr:sp macro="" textlink="">
      <cdr:nvSpPr>
        <cdr:cNvPr id="9" name="TextBox 8"/>
        <cdr:cNvSpPr txBox="1"/>
      </cdr:nvSpPr>
      <cdr:spPr>
        <a:xfrm xmlns:a="http://schemas.openxmlformats.org/drawingml/2006/main" rot="16200000">
          <a:off x="1357314" y="3252788"/>
          <a:ext cx="361950" cy="2952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#8</a:t>
          </a:r>
        </a:p>
      </cdr:txBody>
    </cdr:sp>
  </cdr:relSizeAnchor>
  <cdr:relSizeAnchor xmlns:cdr="http://schemas.openxmlformats.org/drawingml/2006/chartDrawing">
    <cdr:from>
      <cdr:x>0.17199</cdr:x>
      <cdr:y>0.89628</cdr:y>
    </cdr:from>
    <cdr:to>
      <cdr:x>0.21843</cdr:x>
      <cdr:y>1</cdr:y>
    </cdr:to>
    <cdr:sp macro="" textlink="">
      <cdr:nvSpPr>
        <cdr:cNvPr id="10" name="TextBox 9"/>
        <cdr:cNvSpPr txBox="1"/>
      </cdr:nvSpPr>
      <cdr:spPr>
        <a:xfrm xmlns:a="http://schemas.openxmlformats.org/drawingml/2006/main" rot="16200000">
          <a:off x="1095376" y="3243263"/>
          <a:ext cx="371475" cy="3048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#16</a:t>
          </a:r>
        </a:p>
      </cdr:txBody>
    </cdr:sp>
  </cdr:relSizeAnchor>
  <cdr:relSizeAnchor xmlns:cdr="http://schemas.openxmlformats.org/drawingml/2006/chartDrawing">
    <cdr:from>
      <cdr:x>0.13788</cdr:x>
      <cdr:y>0.89362</cdr:y>
    </cdr:from>
    <cdr:to>
      <cdr:x>0.18142</cdr:x>
      <cdr:y>1</cdr:y>
    </cdr:to>
    <cdr:sp macro="" textlink="">
      <cdr:nvSpPr>
        <cdr:cNvPr id="11" name="TextBox 10"/>
        <cdr:cNvSpPr txBox="1"/>
      </cdr:nvSpPr>
      <cdr:spPr>
        <a:xfrm xmlns:a="http://schemas.openxmlformats.org/drawingml/2006/main" rot="16200000">
          <a:off x="857251" y="3248026"/>
          <a:ext cx="3810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#30</a:t>
          </a:r>
        </a:p>
      </cdr:txBody>
    </cdr:sp>
  </cdr:relSizeAnchor>
  <cdr:relSizeAnchor xmlns:cdr="http://schemas.openxmlformats.org/drawingml/2006/chartDrawing">
    <cdr:from>
      <cdr:x>0.11321</cdr:x>
      <cdr:y>0.88298</cdr:y>
    </cdr:from>
    <cdr:to>
      <cdr:x>0.15675</cdr:x>
      <cdr:y>1</cdr:y>
    </cdr:to>
    <cdr:sp macro="" textlink="">
      <cdr:nvSpPr>
        <cdr:cNvPr id="12" name="TextBox 11"/>
        <cdr:cNvSpPr txBox="1"/>
      </cdr:nvSpPr>
      <cdr:spPr>
        <a:xfrm xmlns:a="http://schemas.openxmlformats.org/drawingml/2006/main" rot="16200000">
          <a:off x="676276" y="3228975"/>
          <a:ext cx="4191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#50</a:t>
          </a:r>
        </a:p>
      </cdr:txBody>
    </cdr:sp>
  </cdr:relSizeAnchor>
  <cdr:relSizeAnchor xmlns:cdr="http://schemas.openxmlformats.org/drawingml/2006/chartDrawing">
    <cdr:from>
      <cdr:x>0.09144</cdr:x>
      <cdr:y>0.86436</cdr:y>
    </cdr:from>
    <cdr:to>
      <cdr:x>0.13933</cdr:x>
      <cdr:y>1</cdr:y>
    </cdr:to>
    <cdr:sp macro="" textlink="">
      <cdr:nvSpPr>
        <cdr:cNvPr id="13" name="TextBox 12"/>
        <cdr:cNvSpPr txBox="1"/>
      </cdr:nvSpPr>
      <cdr:spPr>
        <a:xfrm xmlns:a="http://schemas.openxmlformats.org/drawingml/2006/main" rot="16200000">
          <a:off x="514351" y="3181351"/>
          <a:ext cx="485775" cy="314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i="0"/>
            <a:t>#100</a:t>
          </a:r>
        </a:p>
      </cdr:txBody>
    </cdr:sp>
  </cdr:relSizeAnchor>
  <cdr:relSizeAnchor xmlns:cdr="http://schemas.openxmlformats.org/drawingml/2006/chartDrawing">
    <cdr:from>
      <cdr:x>0.51669</cdr:x>
      <cdr:y>0.89096</cdr:y>
    </cdr:from>
    <cdr:to>
      <cdr:x>0.56459</cdr:x>
      <cdr:y>1</cdr:y>
    </cdr:to>
    <cdr:sp macro="" textlink="">
      <cdr:nvSpPr>
        <cdr:cNvPr id="14" name="TextBox 13"/>
        <cdr:cNvSpPr txBox="1"/>
      </cdr:nvSpPr>
      <cdr:spPr>
        <a:xfrm xmlns:a="http://schemas.openxmlformats.org/drawingml/2006/main" rot="16200000">
          <a:off x="3352801" y="3228976"/>
          <a:ext cx="390525" cy="314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1in</a:t>
          </a:r>
        </a:p>
      </cdr:txBody>
    </cdr:sp>
  </cdr:relSizeAnchor>
  <cdr:relSizeAnchor xmlns:cdr="http://schemas.openxmlformats.org/drawingml/2006/chartDrawing">
    <cdr:from>
      <cdr:x>0.61516</cdr:x>
      <cdr:y>0.85118</cdr:y>
    </cdr:from>
    <cdr:to>
      <cdr:x>0.64769</cdr:x>
      <cdr:y>1</cdr:y>
    </cdr:to>
    <cdr:sp macro="" textlink="">
      <cdr:nvSpPr>
        <cdr:cNvPr id="15" name="TextBox 14"/>
        <cdr:cNvSpPr txBox="1"/>
      </cdr:nvSpPr>
      <cdr:spPr>
        <a:xfrm xmlns:a="http://schemas.openxmlformats.org/drawingml/2006/main" rot="16200000">
          <a:off x="4790836" y="3343035"/>
          <a:ext cx="558492" cy="26113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1.5in</a:t>
          </a:r>
        </a:p>
      </cdr:txBody>
    </cdr:sp>
  </cdr:relSizeAnchor>
</c:userShapes>
</file>

<file path=xl/drawings/drawing26.xml><?xml version="1.0" encoding="utf-8"?>
<c:userShapes xmlns:c="http://schemas.openxmlformats.org/drawingml/2006/chart">
  <cdr:relSizeAnchor xmlns:cdr="http://schemas.openxmlformats.org/drawingml/2006/chartDrawing">
    <cdr:from>
      <cdr:x>0.83505</cdr:x>
      <cdr:y>0.70865</cdr:y>
    </cdr:from>
    <cdr:to>
      <cdr:x>1</cdr:x>
      <cdr:y>1</cdr:y>
    </cdr:to>
    <cdr:sp macro="" textlink="">
      <cdr:nvSpPr>
        <cdr:cNvPr id="2" name="TextBox 1"/>
        <cdr:cNvSpPr txBox="1"/>
      </cdr:nvSpPr>
      <cdr:spPr>
        <a:xfrm xmlns:a="http://schemas.openxmlformats.org/drawingml/2006/main">
          <a:off x="4876800" y="28289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0.80241</cdr:x>
      <cdr:y>0.03945</cdr:y>
    </cdr:from>
    <cdr:to>
      <cdr:x>0.95017</cdr:x>
      <cdr:y>0.13657</cdr:y>
    </cdr:to>
    <cdr:sp macro="" textlink="">
      <cdr:nvSpPr>
        <cdr:cNvPr id="3" name="TextBox 2"/>
        <cdr:cNvSpPr txBox="1"/>
      </cdr:nvSpPr>
      <cdr:spPr>
        <a:xfrm xmlns:a="http://schemas.openxmlformats.org/drawingml/2006/main">
          <a:off x="4448175" y="123825"/>
          <a:ext cx="819150" cy="3048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NMS(D)=1in</a:t>
          </a:r>
        </a:p>
      </cdr:txBody>
    </cdr:sp>
  </cdr:relSizeAnchor>
  <cdr:relSizeAnchor xmlns:cdr="http://schemas.openxmlformats.org/drawingml/2006/chartDrawing">
    <cdr:from>
      <cdr:x>0.46374</cdr:x>
      <cdr:y>0.88187</cdr:y>
    </cdr:from>
    <cdr:to>
      <cdr:x>0.50759</cdr:x>
      <cdr:y>1</cdr:y>
    </cdr:to>
    <cdr:sp macro="" textlink="">
      <cdr:nvSpPr>
        <cdr:cNvPr id="4" name="TextBox 3"/>
        <cdr:cNvSpPr txBox="1"/>
      </cdr:nvSpPr>
      <cdr:spPr>
        <a:xfrm xmlns:a="http://schemas.openxmlformats.org/drawingml/2006/main" rot="16200000">
          <a:off x="2922371" y="3121155"/>
          <a:ext cx="409575" cy="28231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.75</a:t>
          </a:r>
        </a:p>
      </cdr:txBody>
    </cdr:sp>
  </cdr:relSizeAnchor>
  <cdr:relSizeAnchor xmlns:cdr="http://schemas.openxmlformats.org/drawingml/2006/chartDrawing">
    <cdr:from>
      <cdr:x>0.39708</cdr:x>
      <cdr:y>0.89918</cdr:y>
    </cdr:from>
    <cdr:to>
      <cdr:x>0.4254</cdr:x>
      <cdr:y>0.98802</cdr:y>
    </cdr:to>
    <cdr:sp macro="" textlink="">
      <cdr:nvSpPr>
        <cdr:cNvPr id="5" name="TextBox 4"/>
        <cdr:cNvSpPr txBox="1"/>
      </cdr:nvSpPr>
      <cdr:spPr>
        <a:xfrm xmlns:a="http://schemas.openxmlformats.org/drawingml/2006/main" rot="16200000">
          <a:off x="2527893" y="3206157"/>
          <a:ext cx="310557" cy="1847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.5</a:t>
          </a:r>
        </a:p>
      </cdr:txBody>
    </cdr:sp>
  </cdr:relSizeAnchor>
  <cdr:relSizeAnchor xmlns:cdr="http://schemas.openxmlformats.org/drawingml/2006/chartDrawing">
    <cdr:from>
      <cdr:x>0.35037</cdr:x>
      <cdr:y>0.89918</cdr:y>
    </cdr:from>
    <cdr:to>
      <cdr:x>0.39854</cdr:x>
      <cdr:y>1</cdr:y>
    </cdr:to>
    <cdr:sp macro="" textlink="">
      <cdr:nvSpPr>
        <cdr:cNvPr id="6" name="TextBox 5"/>
        <cdr:cNvSpPr txBox="1"/>
      </cdr:nvSpPr>
      <cdr:spPr>
        <a:xfrm xmlns:a="http://schemas.openxmlformats.org/drawingml/2006/main" rot="16200000">
          <a:off x="2266951" y="3162300"/>
          <a:ext cx="352425" cy="314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3/8</a:t>
          </a:r>
        </a:p>
      </cdr:txBody>
    </cdr:sp>
  </cdr:relSizeAnchor>
  <cdr:relSizeAnchor xmlns:cdr="http://schemas.openxmlformats.org/drawingml/2006/chartDrawing">
    <cdr:from>
      <cdr:x>0.27286</cdr:x>
      <cdr:y>0.88615</cdr:y>
    </cdr:from>
    <cdr:to>
      <cdr:x>0.33527</cdr:x>
      <cdr:y>0.99734</cdr:y>
    </cdr:to>
    <cdr:sp macro="" textlink="">
      <cdr:nvSpPr>
        <cdr:cNvPr id="7" name="TextBox 6"/>
        <cdr:cNvSpPr txBox="1"/>
      </cdr:nvSpPr>
      <cdr:spPr>
        <a:xfrm xmlns:a="http://schemas.openxmlformats.org/drawingml/2006/main" rot="16200000">
          <a:off x="1796373" y="3167970"/>
          <a:ext cx="398234" cy="4095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#4</a:t>
          </a:r>
        </a:p>
      </cdr:txBody>
    </cdr:sp>
  </cdr:relSizeAnchor>
  <cdr:relSizeAnchor xmlns:cdr="http://schemas.openxmlformats.org/drawingml/2006/chartDrawing">
    <cdr:from>
      <cdr:x>0.86067</cdr:x>
      <cdr:y>0.74468</cdr:y>
    </cdr:from>
    <cdr:to>
      <cdr:x>1</cdr:x>
      <cdr:y>1</cdr:y>
    </cdr:to>
    <cdr:sp macro="" textlink="">
      <cdr:nvSpPr>
        <cdr:cNvPr id="8" name="TextBox 7"/>
        <cdr:cNvSpPr txBox="1"/>
      </cdr:nvSpPr>
      <cdr:spPr>
        <a:xfrm xmlns:a="http://schemas.openxmlformats.org/drawingml/2006/main">
          <a:off x="5924551" y="295275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0.2119</cdr:x>
      <cdr:y>0.89894</cdr:y>
    </cdr:from>
    <cdr:to>
      <cdr:x>0.25689</cdr:x>
      <cdr:y>1</cdr:y>
    </cdr:to>
    <cdr:sp macro="" textlink="">
      <cdr:nvSpPr>
        <cdr:cNvPr id="9" name="TextBox 8"/>
        <cdr:cNvSpPr txBox="1"/>
      </cdr:nvSpPr>
      <cdr:spPr>
        <a:xfrm xmlns:a="http://schemas.openxmlformats.org/drawingml/2006/main" rot="16200000">
          <a:off x="1357314" y="3252788"/>
          <a:ext cx="361950" cy="2952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#8</a:t>
          </a:r>
        </a:p>
      </cdr:txBody>
    </cdr:sp>
  </cdr:relSizeAnchor>
  <cdr:relSizeAnchor xmlns:cdr="http://schemas.openxmlformats.org/drawingml/2006/chartDrawing">
    <cdr:from>
      <cdr:x>0.17199</cdr:x>
      <cdr:y>0.89628</cdr:y>
    </cdr:from>
    <cdr:to>
      <cdr:x>0.21843</cdr:x>
      <cdr:y>1</cdr:y>
    </cdr:to>
    <cdr:sp macro="" textlink="">
      <cdr:nvSpPr>
        <cdr:cNvPr id="10" name="TextBox 9"/>
        <cdr:cNvSpPr txBox="1"/>
      </cdr:nvSpPr>
      <cdr:spPr>
        <a:xfrm xmlns:a="http://schemas.openxmlformats.org/drawingml/2006/main" rot="16200000">
          <a:off x="1095376" y="3243263"/>
          <a:ext cx="371475" cy="3048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#16</a:t>
          </a:r>
        </a:p>
      </cdr:txBody>
    </cdr:sp>
  </cdr:relSizeAnchor>
  <cdr:relSizeAnchor xmlns:cdr="http://schemas.openxmlformats.org/drawingml/2006/chartDrawing">
    <cdr:from>
      <cdr:x>0.13788</cdr:x>
      <cdr:y>0.89362</cdr:y>
    </cdr:from>
    <cdr:to>
      <cdr:x>0.18142</cdr:x>
      <cdr:y>1</cdr:y>
    </cdr:to>
    <cdr:sp macro="" textlink="">
      <cdr:nvSpPr>
        <cdr:cNvPr id="11" name="TextBox 10"/>
        <cdr:cNvSpPr txBox="1"/>
      </cdr:nvSpPr>
      <cdr:spPr>
        <a:xfrm xmlns:a="http://schemas.openxmlformats.org/drawingml/2006/main" rot="16200000">
          <a:off x="857251" y="3248026"/>
          <a:ext cx="3810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#30</a:t>
          </a:r>
        </a:p>
      </cdr:txBody>
    </cdr:sp>
  </cdr:relSizeAnchor>
  <cdr:relSizeAnchor xmlns:cdr="http://schemas.openxmlformats.org/drawingml/2006/chartDrawing">
    <cdr:from>
      <cdr:x>0.11321</cdr:x>
      <cdr:y>0.88298</cdr:y>
    </cdr:from>
    <cdr:to>
      <cdr:x>0.15675</cdr:x>
      <cdr:y>1</cdr:y>
    </cdr:to>
    <cdr:sp macro="" textlink="">
      <cdr:nvSpPr>
        <cdr:cNvPr id="12" name="TextBox 11"/>
        <cdr:cNvSpPr txBox="1"/>
      </cdr:nvSpPr>
      <cdr:spPr>
        <a:xfrm xmlns:a="http://schemas.openxmlformats.org/drawingml/2006/main" rot="16200000">
          <a:off x="676276" y="3228975"/>
          <a:ext cx="4191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#50</a:t>
          </a:r>
        </a:p>
      </cdr:txBody>
    </cdr:sp>
  </cdr:relSizeAnchor>
  <cdr:relSizeAnchor xmlns:cdr="http://schemas.openxmlformats.org/drawingml/2006/chartDrawing">
    <cdr:from>
      <cdr:x>0.09144</cdr:x>
      <cdr:y>0.86436</cdr:y>
    </cdr:from>
    <cdr:to>
      <cdr:x>0.13933</cdr:x>
      <cdr:y>1</cdr:y>
    </cdr:to>
    <cdr:sp macro="" textlink="">
      <cdr:nvSpPr>
        <cdr:cNvPr id="13" name="TextBox 12"/>
        <cdr:cNvSpPr txBox="1"/>
      </cdr:nvSpPr>
      <cdr:spPr>
        <a:xfrm xmlns:a="http://schemas.openxmlformats.org/drawingml/2006/main" rot="16200000">
          <a:off x="514351" y="3181351"/>
          <a:ext cx="485775" cy="314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i="0"/>
            <a:t>#100</a:t>
          </a:r>
        </a:p>
      </cdr:txBody>
    </cdr:sp>
  </cdr:relSizeAnchor>
  <cdr:relSizeAnchor xmlns:cdr="http://schemas.openxmlformats.org/drawingml/2006/chartDrawing">
    <cdr:from>
      <cdr:x>0.51669</cdr:x>
      <cdr:y>0.89096</cdr:y>
    </cdr:from>
    <cdr:to>
      <cdr:x>0.56459</cdr:x>
      <cdr:y>1</cdr:y>
    </cdr:to>
    <cdr:sp macro="" textlink="">
      <cdr:nvSpPr>
        <cdr:cNvPr id="14" name="TextBox 13"/>
        <cdr:cNvSpPr txBox="1"/>
      </cdr:nvSpPr>
      <cdr:spPr>
        <a:xfrm xmlns:a="http://schemas.openxmlformats.org/drawingml/2006/main" rot="16200000">
          <a:off x="3352801" y="3228976"/>
          <a:ext cx="390525" cy="314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1in</a:t>
          </a:r>
        </a:p>
      </cdr:txBody>
    </cdr:sp>
  </cdr:relSizeAnchor>
  <cdr:relSizeAnchor xmlns:cdr="http://schemas.openxmlformats.org/drawingml/2006/chartDrawing">
    <cdr:from>
      <cdr:x>0.61516</cdr:x>
      <cdr:y>0.85118</cdr:y>
    </cdr:from>
    <cdr:to>
      <cdr:x>0.64769</cdr:x>
      <cdr:y>1</cdr:y>
    </cdr:to>
    <cdr:sp macro="" textlink="">
      <cdr:nvSpPr>
        <cdr:cNvPr id="15" name="TextBox 14"/>
        <cdr:cNvSpPr txBox="1"/>
      </cdr:nvSpPr>
      <cdr:spPr>
        <a:xfrm xmlns:a="http://schemas.openxmlformats.org/drawingml/2006/main" rot="16200000">
          <a:off x="4790836" y="3343035"/>
          <a:ext cx="558492" cy="26113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1.5in</a:t>
          </a:r>
        </a:p>
      </cdr:txBody>
    </cdr:sp>
  </cdr:relSizeAnchor>
</c:userShapes>
</file>

<file path=xl/drawings/drawing27.xml><?xml version="1.0" encoding="utf-8"?>
<c:userShapes xmlns:c="http://schemas.openxmlformats.org/drawingml/2006/chart">
  <cdr:relSizeAnchor xmlns:cdr="http://schemas.openxmlformats.org/drawingml/2006/chartDrawing">
    <cdr:from>
      <cdr:x>0.83505</cdr:x>
      <cdr:y>0.70865</cdr:y>
    </cdr:from>
    <cdr:to>
      <cdr:x>1</cdr:x>
      <cdr:y>1</cdr:y>
    </cdr:to>
    <cdr:sp macro="" textlink="">
      <cdr:nvSpPr>
        <cdr:cNvPr id="2" name="TextBox 1"/>
        <cdr:cNvSpPr txBox="1"/>
      </cdr:nvSpPr>
      <cdr:spPr>
        <a:xfrm xmlns:a="http://schemas.openxmlformats.org/drawingml/2006/main">
          <a:off x="4876800" y="28289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0.80241</cdr:x>
      <cdr:y>0.03945</cdr:y>
    </cdr:from>
    <cdr:to>
      <cdr:x>0.95017</cdr:x>
      <cdr:y>0.13657</cdr:y>
    </cdr:to>
    <cdr:sp macro="" textlink="">
      <cdr:nvSpPr>
        <cdr:cNvPr id="3" name="TextBox 2"/>
        <cdr:cNvSpPr txBox="1"/>
      </cdr:nvSpPr>
      <cdr:spPr>
        <a:xfrm xmlns:a="http://schemas.openxmlformats.org/drawingml/2006/main">
          <a:off x="4448175" y="123825"/>
          <a:ext cx="819150" cy="3048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NMS(D)=1in</a:t>
          </a:r>
        </a:p>
      </cdr:txBody>
    </cdr:sp>
  </cdr:relSizeAnchor>
  <cdr:relSizeAnchor xmlns:cdr="http://schemas.openxmlformats.org/drawingml/2006/chartDrawing">
    <cdr:from>
      <cdr:x>0.46374</cdr:x>
      <cdr:y>0.88187</cdr:y>
    </cdr:from>
    <cdr:to>
      <cdr:x>0.50759</cdr:x>
      <cdr:y>1</cdr:y>
    </cdr:to>
    <cdr:sp macro="" textlink="">
      <cdr:nvSpPr>
        <cdr:cNvPr id="4" name="TextBox 3"/>
        <cdr:cNvSpPr txBox="1"/>
      </cdr:nvSpPr>
      <cdr:spPr>
        <a:xfrm xmlns:a="http://schemas.openxmlformats.org/drawingml/2006/main" rot="16200000">
          <a:off x="2922371" y="3121155"/>
          <a:ext cx="409575" cy="28231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.75</a:t>
          </a:r>
        </a:p>
      </cdr:txBody>
    </cdr:sp>
  </cdr:relSizeAnchor>
  <cdr:relSizeAnchor xmlns:cdr="http://schemas.openxmlformats.org/drawingml/2006/chartDrawing">
    <cdr:from>
      <cdr:x>0.39708</cdr:x>
      <cdr:y>0.89918</cdr:y>
    </cdr:from>
    <cdr:to>
      <cdr:x>0.4254</cdr:x>
      <cdr:y>0.98802</cdr:y>
    </cdr:to>
    <cdr:sp macro="" textlink="">
      <cdr:nvSpPr>
        <cdr:cNvPr id="5" name="TextBox 4"/>
        <cdr:cNvSpPr txBox="1"/>
      </cdr:nvSpPr>
      <cdr:spPr>
        <a:xfrm xmlns:a="http://schemas.openxmlformats.org/drawingml/2006/main" rot="16200000">
          <a:off x="2527893" y="3206157"/>
          <a:ext cx="310557" cy="1847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.5</a:t>
          </a:r>
        </a:p>
      </cdr:txBody>
    </cdr:sp>
  </cdr:relSizeAnchor>
  <cdr:relSizeAnchor xmlns:cdr="http://schemas.openxmlformats.org/drawingml/2006/chartDrawing">
    <cdr:from>
      <cdr:x>0.35037</cdr:x>
      <cdr:y>0.89918</cdr:y>
    </cdr:from>
    <cdr:to>
      <cdr:x>0.39854</cdr:x>
      <cdr:y>1</cdr:y>
    </cdr:to>
    <cdr:sp macro="" textlink="">
      <cdr:nvSpPr>
        <cdr:cNvPr id="6" name="TextBox 5"/>
        <cdr:cNvSpPr txBox="1"/>
      </cdr:nvSpPr>
      <cdr:spPr>
        <a:xfrm xmlns:a="http://schemas.openxmlformats.org/drawingml/2006/main" rot="16200000">
          <a:off x="2266951" y="3162300"/>
          <a:ext cx="352425" cy="314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3/8</a:t>
          </a:r>
        </a:p>
      </cdr:txBody>
    </cdr:sp>
  </cdr:relSizeAnchor>
  <cdr:relSizeAnchor xmlns:cdr="http://schemas.openxmlformats.org/drawingml/2006/chartDrawing">
    <cdr:from>
      <cdr:x>0.27286</cdr:x>
      <cdr:y>0.88615</cdr:y>
    </cdr:from>
    <cdr:to>
      <cdr:x>0.33527</cdr:x>
      <cdr:y>0.99734</cdr:y>
    </cdr:to>
    <cdr:sp macro="" textlink="">
      <cdr:nvSpPr>
        <cdr:cNvPr id="7" name="TextBox 6"/>
        <cdr:cNvSpPr txBox="1"/>
      </cdr:nvSpPr>
      <cdr:spPr>
        <a:xfrm xmlns:a="http://schemas.openxmlformats.org/drawingml/2006/main" rot="16200000">
          <a:off x="1796373" y="3167970"/>
          <a:ext cx="398234" cy="4095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#4</a:t>
          </a:r>
        </a:p>
      </cdr:txBody>
    </cdr:sp>
  </cdr:relSizeAnchor>
  <cdr:relSizeAnchor xmlns:cdr="http://schemas.openxmlformats.org/drawingml/2006/chartDrawing">
    <cdr:from>
      <cdr:x>0.86067</cdr:x>
      <cdr:y>0.74468</cdr:y>
    </cdr:from>
    <cdr:to>
      <cdr:x>1</cdr:x>
      <cdr:y>1</cdr:y>
    </cdr:to>
    <cdr:sp macro="" textlink="">
      <cdr:nvSpPr>
        <cdr:cNvPr id="8" name="TextBox 7"/>
        <cdr:cNvSpPr txBox="1"/>
      </cdr:nvSpPr>
      <cdr:spPr>
        <a:xfrm xmlns:a="http://schemas.openxmlformats.org/drawingml/2006/main">
          <a:off x="5924551" y="295275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0.2119</cdr:x>
      <cdr:y>0.89894</cdr:y>
    </cdr:from>
    <cdr:to>
      <cdr:x>0.25689</cdr:x>
      <cdr:y>1</cdr:y>
    </cdr:to>
    <cdr:sp macro="" textlink="">
      <cdr:nvSpPr>
        <cdr:cNvPr id="9" name="TextBox 8"/>
        <cdr:cNvSpPr txBox="1"/>
      </cdr:nvSpPr>
      <cdr:spPr>
        <a:xfrm xmlns:a="http://schemas.openxmlformats.org/drawingml/2006/main" rot="16200000">
          <a:off x="1357314" y="3252788"/>
          <a:ext cx="361950" cy="2952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#8</a:t>
          </a:r>
        </a:p>
      </cdr:txBody>
    </cdr:sp>
  </cdr:relSizeAnchor>
  <cdr:relSizeAnchor xmlns:cdr="http://schemas.openxmlformats.org/drawingml/2006/chartDrawing">
    <cdr:from>
      <cdr:x>0.17199</cdr:x>
      <cdr:y>0.89628</cdr:y>
    </cdr:from>
    <cdr:to>
      <cdr:x>0.21843</cdr:x>
      <cdr:y>1</cdr:y>
    </cdr:to>
    <cdr:sp macro="" textlink="">
      <cdr:nvSpPr>
        <cdr:cNvPr id="10" name="TextBox 9"/>
        <cdr:cNvSpPr txBox="1"/>
      </cdr:nvSpPr>
      <cdr:spPr>
        <a:xfrm xmlns:a="http://schemas.openxmlformats.org/drawingml/2006/main" rot="16200000">
          <a:off x="1095376" y="3243263"/>
          <a:ext cx="371475" cy="3048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#16</a:t>
          </a:r>
        </a:p>
      </cdr:txBody>
    </cdr:sp>
  </cdr:relSizeAnchor>
  <cdr:relSizeAnchor xmlns:cdr="http://schemas.openxmlformats.org/drawingml/2006/chartDrawing">
    <cdr:from>
      <cdr:x>0.13788</cdr:x>
      <cdr:y>0.89362</cdr:y>
    </cdr:from>
    <cdr:to>
      <cdr:x>0.18142</cdr:x>
      <cdr:y>1</cdr:y>
    </cdr:to>
    <cdr:sp macro="" textlink="">
      <cdr:nvSpPr>
        <cdr:cNvPr id="11" name="TextBox 10"/>
        <cdr:cNvSpPr txBox="1"/>
      </cdr:nvSpPr>
      <cdr:spPr>
        <a:xfrm xmlns:a="http://schemas.openxmlformats.org/drawingml/2006/main" rot="16200000">
          <a:off x="857251" y="3248026"/>
          <a:ext cx="3810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#30</a:t>
          </a:r>
        </a:p>
      </cdr:txBody>
    </cdr:sp>
  </cdr:relSizeAnchor>
  <cdr:relSizeAnchor xmlns:cdr="http://schemas.openxmlformats.org/drawingml/2006/chartDrawing">
    <cdr:from>
      <cdr:x>0.11321</cdr:x>
      <cdr:y>0.88298</cdr:y>
    </cdr:from>
    <cdr:to>
      <cdr:x>0.15675</cdr:x>
      <cdr:y>1</cdr:y>
    </cdr:to>
    <cdr:sp macro="" textlink="">
      <cdr:nvSpPr>
        <cdr:cNvPr id="12" name="TextBox 11"/>
        <cdr:cNvSpPr txBox="1"/>
      </cdr:nvSpPr>
      <cdr:spPr>
        <a:xfrm xmlns:a="http://schemas.openxmlformats.org/drawingml/2006/main" rot="16200000">
          <a:off x="676276" y="3228975"/>
          <a:ext cx="4191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#50</a:t>
          </a:r>
        </a:p>
      </cdr:txBody>
    </cdr:sp>
  </cdr:relSizeAnchor>
  <cdr:relSizeAnchor xmlns:cdr="http://schemas.openxmlformats.org/drawingml/2006/chartDrawing">
    <cdr:from>
      <cdr:x>0.09144</cdr:x>
      <cdr:y>0.86436</cdr:y>
    </cdr:from>
    <cdr:to>
      <cdr:x>0.13933</cdr:x>
      <cdr:y>1</cdr:y>
    </cdr:to>
    <cdr:sp macro="" textlink="">
      <cdr:nvSpPr>
        <cdr:cNvPr id="13" name="TextBox 12"/>
        <cdr:cNvSpPr txBox="1"/>
      </cdr:nvSpPr>
      <cdr:spPr>
        <a:xfrm xmlns:a="http://schemas.openxmlformats.org/drawingml/2006/main" rot="16200000">
          <a:off x="514351" y="3181351"/>
          <a:ext cx="485775" cy="314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i="0"/>
            <a:t>#100</a:t>
          </a:r>
        </a:p>
      </cdr:txBody>
    </cdr:sp>
  </cdr:relSizeAnchor>
  <cdr:relSizeAnchor xmlns:cdr="http://schemas.openxmlformats.org/drawingml/2006/chartDrawing">
    <cdr:from>
      <cdr:x>0.51669</cdr:x>
      <cdr:y>0.89096</cdr:y>
    </cdr:from>
    <cdr:to>
      <cdr:x>0.56459</cdr:x>
      <cdr:y>1</cdr:y>
    </cdr:to>
    <cdr:sp macro="" textlink="">
      <cdr:nvSpPr>
        <cdr:cNvPr id="14" name="TextBox 13"/>
        <cdr:cNvSpPr txBox="1"/>
      </cdr:nvSpPr>
      <cdr:spPr>
        <a:xfrm xmlns:a="http://schemas.openxmlformats.org/drawingml/2006/main" rot="16200000">
          <a:off x="3352801" y="3228976"/>
          <a:ext cx="390525" cy="314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1in</a:t>
          </a:r>
        </a:p>
      </cdr:txBody>
    </cdr:sp>
  </cdr:relSizeAnchor>
  <cdr:relSizeAnchor xmlns:cdr="http://schemas.openxmlformats.org/drawingml/2006/chartDrawing">
    <cdr:from>
      <cdr:x>0.61516</cdr:x>
      <cdr:y>0.85118</cdr:y>
    </cdr:from>
    <cdr:to>
      <cdr:x>0.64769</cdr:x>
      <cdr:y>1</cdr:y>
    </cdr:to>
    <cdr:sp macro="" textlink="">
      <cdr:nvSpPr>
        <cdr:cNvPr id="15" name="TextBox 14"/>
        <cdr:cNvSpPr txBox="1"/>
      </cdr:nvSpPr>
      <cdr:spPr>
        <a:xfrm xmlns:a="http://schemas.openxmlformats.org/drawingml/2006/main" rot="16200000">
          <a:off x="4790836" y="3343035"/>
          <a:ext cx="558492" cy="26113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1.5in</a:t>
          </a:r>
        </a:p>
      </cdr:txBody>
    </cdr:sp>
  </cdr:relSizeAnchor>
</c:userShapes>
</file>

<file path=xl/drawings/drawing28.xml><?xml version="1.0" encoding="utf-8"?>
<c:userShapes xmlns:c="http://schemas.openxmlformats.org/drawingml/2006/chart">
  <cdr:relSizeAnchor xmlns:cdr="http://schemas.openxmlformats.org/drawingml/2006/chartDrawing">
    <cdr:from>
      <cdr:x>0.83505</cdr:x>
      <cdr:y>0.70865</cdr:y>
    </cdr:from>
    <cdr:to>
      <cdr:x>1</cdr:x>
      <cdr:y>1</cdr:y>
    </cdr:to>
    <cdr:sp macro="" textlink="">
      <cdr:nvSpPr>
        <cdr:cNvPr id="2" name="TextBox 1"/>
        <cdr:cNvSpPr txBox="1"/>
      </cdr:nvSpPr>
      <cdr:spPr>
        <a:xfrm xmlns:a="http://schemas.openxmlformats.org/drawingml/2006/main">
          <a:off x="4876800" y="28289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0.80241</cdr:x>
      <cdr:y>0.03945</cdr:y>
    </cdr:from>
    <cdr:to>
      <cdr:x>0.95017</cdr:x>
      <cdr:y>0.13657</cdr:y>
    </cdr:to>
    <cdr:sp macro="" textlink="">
      <cdr:nvSpPr>
        <cdr:cNvPr id="3" name="TextBox 2"/>
        <cdr:cNvSpPr txBox="1"/>
      </cdr:nvSpPr>
      <cdr:spPr>
        <a:xfrm xmlns:a="http://schemas.openxmlformats.org/drawingml/2006/main">
          <a:off x="4448175" y="123825"/>
          <a:ext cx="819150" cy="3048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NMS(D)=1in</a:t>
          </a:r>
        </a:p>
      </cdr:txBody>
    </cdr:sp>
  </cdr:relSizeAnchor>
  <cdr:relSizeAnchor xmlns:cdr="http://schemas.openxmlformats.org/drawingml/2006/chartDrawing">
    <cdr:from>
      <cdr:x>0.46374</cdr:x>
      <cdr:y>0.88187</cdr:y>
    </cdr:from>
    <cdr:to>
      <cdr:x>0.50759</cdr:x>
      <cdr:y>1</cdr:y>
    </cdr:to>
    <cdr:sp macro="" textlink="">
      <cdr:nvSpPr>
        <cdr:cNvPr id="4" name="TextBox 3"/>
        <cdr:cNvSpPr txBox="1"/>
      </cdr:nvSpPr>
      <cdr:spPr>
        <a:xfrm xmlns:a="http://schemas.openxmlformats.org/drawingml/2006/main" rot="16200000">
          <a:off x="2922371" y="3121155"/>
          <a:ext cx="409575" cy="28231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.75</a:t>
          </a:r>
        </a:p>
      </cdr:txBody>
    </cdr:sp>
  </cdr:relSizeAnchor>
  <cdr:relSizeAnchor xmlns:cdr="http://schemas.openxmlformats.org/drawingml/2006/chartDrawing">
    <cdr:from>
      <cdr:x>0.39708</cdr:x>
      <cdr:y>0.89918</cdr:y>
    </cdr:from>
    <cdr:to>
      <cdr:x>0.4254</cdr:x>
      <cdr:y>0.98802</cdr:y>
    </cdr:to>
    <cdr:sp macro="" textlink="">
      <cdr:nvSpPr>
        <cdr:cNvPr id="5" name="TextBox 4"/>
        <cdr:cNvSpPr txBox="1"/>
      </cdr:nvSpPr>
      <cdr:spPr>
        <a:xfrm xmlns:a="http://schemas.openxmlformats.org/drawingml/2006/main" rot="16200000">
          <a:off x="2527893" y="3206157"/>
          <a:ext cx="310557" cy="1847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.5</a:t>
          </a:r>
        </a:p>
      </cdr:txBody>
    </cdr:sp>
  </cdr:relSizeAnchor>
  <cdr:relSizeAnchor xmlns:cdr="http://schemas.openxmlformats.org/drawingml/2006/chartDrawing">
    <cdr:from>
      <cdr:x>0.35037</cdr:x>
      <cdr:y>0.89918</cdr:y>
    </cdr:from>
    <cdr:to>
      <cdr:x>0.39854</cdr:x>
      <cdr:y>1</cdr:y>
    </cdr:to>
    <cdr:sp macro="" textlink="">
      <cdr:nvSpPr>
        <cdr:cNvPr id="6" name="TextBox 5"/>
        <cdr:cNvSpPr txBox="1"/>
      </cdr:nvSpPr>
      <cdr:spPr>
        <a:xfrm xmlns:a="http://schemas.openxmlformats.org/drawingml/2006/main" rot="16200000">
          <a:off x="2266951" y="3162300"/>
          <a:ext cx="352425" cy="314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3/8</a:t>
          </a:r>
        </a:p>
      </cdr:txBody>
    </cdr:sp>
  </cdr:relSizeAnchor>
  <cdr:relSizeAnchor xmlns:cdr="http://schemas.openxmlformats.org/drawingml/2006/chartDrawing">
    <cdr:from>
      <cdr:x>0.27286</cdr:x>
      <cdr:y>0.88615</cdr:y>
    </cdr:from>
    <cdr:to>
      <cdr:x>0.33527</cdr:x>
      <cdr:y>0.99734</cdr:y>
    </cdr:to>
    <cdr:sp macro="" textlink="">
      <cdr:nvSpPr>
        <cdr:cNvPr id="7" name="TextBox 6"/>
        <cdr:cNvSpPr txBox="1"/>
      </cdr:nvSpPr>
      <cdr:spPr>
        <a:xfrm xmlns:a="http://schemas.openxmlformats.org/drawingml/2006/main" rot="16200000">
          <a:off x="1796373" y="3167970"/>
          <a:ext cx="398234" cy="4095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#4</a:t>
          </a:r>
        </a:p>
      </cdr:txBody>
    </cdr:sp>
  </cdr:relSizeAnchor>
  <cdr:relSizeAnchor xmlns:cdr="http://schemas.openxmlformats.org/drawingml/2006/chartDrawing">
    <cdr:from>
      <cdr:x>0.86067</cdr:x>
      <cdr:y>0.74468</cdr:y>
    </cdr:from>
    <cdr:to>
      <cdr:x>1</cdr:x>
      <cdr:y>1</cdr:y>
    </cdr:to>
    <cdr:sp macro="" textlink="">
      <cdr:nvSpPr>
        <cdr:cNvPr id="8" name="TextBox 7"/>
        <cdr:cNvSpPr txBox="1"/>
      </cdr:nvSpPr>
      <cdr:spPr>
        <a:xfrm xmlns:a="http://schemas.openxmlformats.org/drawingml/2006/main">
          <a:off x="5924551" y="295275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0.2119</cdr:x>
      <cdr:y>0.89894</cdr:y>
    </cdr:from>
    <cdr:to>
      <cdr:x>0.25689</cdr:x>
      <cdr:y>1</cdr:y>
    </cdr:to>
    <cdr:sp macro="" textlink="">
      <cdr:nvSpPr>
        <cdr:cNvPr id="9" name="TextBox 8"/>
        <cdr:cNvSpPr txBox="1"/>
      </cdr:nvSpPr>
      <cdr:spPr>
        <a:xfrm xmlns:a="http://schemas.openxmlformats.org/drawingml/2006/main" rot="16200000">
          <a:off x="1357314" y="3252788"/>
          <a:ext cx="361950" cy="2952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#8</a:t>
          </a:r>
        </a:p>
      </cdr:txBody>
    </cdr:sp>
  </cdr:relSizeAnchor>
  <cdr:relSizeAnchor xmlns:cdr="http://schemas.openxmlformats.org/drawingml/2006/chartDrawing">
    <cdr:from>
      <cdr:x>0.17199</cdr:x>
      <cdr:y>0.89628</cdr:y>
    </cdr:from>
    <cdr:to>
      <cdr:x>0.21843</cdr:x>
      <cdr:y>1</cdr:y>
    </cdr:to>
    <cdr:sp macro="" textlink="">
      <cdr:nvSpPr>
        <cdr:cNvPr id="10" name="TextBox 9"/>
        <cdr:cNvSpPr txBox="1"/>
      </cdr:nvSpPr>
      <cdr:spPr>
        <a:xfrm xmlns:a="http://schemas.openxmlformats.org/drawingml/2006/main" rot="16200000">
          <a:off x="1095376" y="3243263"/>
          <a:ext cx="371475" cy="3048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#16</a:t>
          </a:r>
        </a:p>
      </cdr:txBody>
    </cdr:sp>
  </cdr:relSizeAnchor>
  <cdr:relSizeAnchor xmlns:cdr="http://schemas.openxmlformats.org/drawingml/2006/chartDrawing">
    <cdr:from>
      <cdr:x>0.13788</cdr:x>
      <cdr:y>0.89362</cdr:y>
    </cdr:from>
    <cdr:to>
      <cdr:x>0.18142</cdr:x>
      <cdr:y>1</cdr:y>
    </cdr:to>
    <cdr:sp macro="" textlink="">
      <cdr:nvSpPr>
        <cdr:cNvPr id="11" name="TextBox 10"/>
        <cdr:cNvSpPr txBox="1"/>
      </cdr:nvSpPr>
      <cdr:spPr>
        <a:xfrm xmlns:a="http://schemas.openxmlformats.org/drawingml/2006/main" rot="16200000">
          <a:off x="857251" y="3248026"/>
          <a:ext cx="3810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#30</a:t>
          </a:r>
        </a:p>
      </cdr:txBody>
    </cdr:sp>
  </cdr:relSizeAnchor>
  <cdr:relSizeAnchor xmlns:cdr="http://schemas.openxmlformats.org/drawingml/2006/chartDrawing">
    <cdr:from>
      <cdr:x>0.11321</cdr:x>
      <cdr:y>0.88298</cdr:y>
    </cdr:from>
    <cdr:to>
      <cdr:x>0.15675</cdr:x>
      <cdr:y>1</cdr:y>
    </cdr:to>
    <cdr:sp macro="" textlink="">
      <cdr:nvSpPr>
        <cdr:cNvPr id="12" name="TextBox 11"/>
        <cdr:cNvSpPr txBox="1"/>
      </cdr:nvSpPr>
      <cdr:spPr>
        <a:xfrm xmlns:a="http://schemas.openxmlformats.org/drawingml/2006/main" rot="16200000">
          <a:off x="676276" y="3228975"/>
          <a:ext cx="4191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#50</a:t>
          </a:r>
        </a:p>
      </cdr:txBody>
    </cdr:sp>
  </cdr:relSizeAnchor>
  <cdr:relSizeAnchor xmlns:cdr="http://schemas.openxmlformats.org/drawingml/2006/chartDrawing">
    <cdr:from>
      <cdr:x>0.09144</cdr:x>
      <cdr:y>0.86436</cdr:y>
    </cdr:from>
    <cdr:to>
      <cdr:x>0.13933</cdr:x>
      <cdr:y>1</cdr:y>
    </cdr:to>
    <cdr:sp macro="" textlink="">
      <cdr:nvSpPr>
        <cdr:cNvPr id="13" name="TextBox 12"/>
        <cdr:cNvSpPr txBox="1"/>
      </cdr:nvSpPr>
      <cdr:spPr>
        <a:xfrm xmlns:a="http://schemas.openxmlformats.org/drawingml/2006/main" rot="16200000">
          <a:off x="514351" y="3181351"/>
          <a:ext cx="485775" cy="314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i="0"/>
            <a:t>#100</a:t>
          </a:r>
        </a:p>
      </cdr:txBody>
    </cdr:sp>
  </cdr:relSizeAnchor>
  <cdr:relSizeAnchor xmlns:cdr="http://schemas.openxmlformats.org/drawingml/2006/chartDrawing">
    <cdr:from>
      <cdr:x>0.51669</cdr:x>
      <cdr:y>0.89096</cdr:y>
    </cdr:from>
    <cdr:to>
      <cdr:x>0.56459</cdr:x>
      <cdr:y>1</cdr:y>
    </cdr:to>
    <cdr:sp macro="" textlink="">
      <cdr:nvSpPr>
        <cdr:cNvPr id="14" name="TextBox 13"/>
        <cdr:cNvSpPr txBox="1"/>
      </cdr:nvSpPr>
      <cdr:spPr>
        <a:xfrm xmlns:a="http://schemas.openxmlformats.org/drawingml/2006/main" rot="16200000">
          <a:off x="3352801" y="3228976"/>
          <a:ext cx="390525" cy="314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1in</a:t>
          </a:r>
        </a:p>
      </cdr:txBody>
    </cdr:sp>
  </cdr:relSizeAnchor>
  <cdr:relSizeAnchor xmlns:cdr="http://schemas.openxmlformats.org/drawingml/2006/chartDrawing">
    <cdr:from>
      <cdr:x>0.61516</cdr:x>
      <cdr:y>0.85118</cdr:y>
    </cdr:from>
    <cdr:to>
      <cdr:x>0.64769</cdr:x>
      <cdr:y>1</cdr:y>
    </cdr:to>
    <cdr:sp macro="" textlink="">
      <cdr:nvSpPr>
        <cdr:cNvPr id="15" name="TextBox 14"/>
        <cdr:cNvSpPr txBox="1"/>
      </cdr:nvSpPr>
      <cdr:spPr>
        <a:xfrm xmlns:a="http://schemas.openxmlformats.org/drawingml/2006/main" rot="16200000">
          <a:off x="4790836" y="3343035"/>
          <a:ext cx="558492" cy="26113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1.5in</a:t>
          </a:r>
        </a:p>
      </cdr:txBody>
    </cdr:sp>
  </cdr:relSizeAnchor>
</c:userShapes>
</file>

<file path=xl/drawings/drawing29.xml><?xml version="1.0" encoding="utf-8"?>
<xdr:wsDr xmlns:xdr="http://schemas.openxmlformats.org/drawingml/2006/spreadsheetDrawing" xmlns:a="http://schemas.openxmlformats.org/drawingml/2006/main">
  <xdr:twoCellAnchor editAs="oneCell">
    <xdr:from>
      <xdr:col>9</xdr:col>
      <xdr:colOff>47625</xdr:colOff>
      <xdr:row>0</xdr:row>
      <xdr:rowOff>133350</xdr:rowOff>
    </xdr:from>
    <xdr:to>
      <xdr:col>23</xdr:col>
      <xdr:colOff>466725</xdr:colOff>
      <xdr:row>22</xdr:row>
      <xdr:rowOff>28575</xdr:rowOff>
    </xdr:to>
    <xdr:pic>
      <xdr:nvPicPr>
        <xdr:cNvPr id="2049" name="Picture 1">
          <a:extLst>
            <a:ext uri="{FF2B5EF4-FFF2-40B4-BE49-F238E27FC236}">
              <a16:creationId xmlns:a16="http://schemas.microsoft.com/office/drawing/2014/main" id="{00000000-0008-0000-0B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34025" y="133350"/>
          <a:ext cx="8953500" cy="4143375"/>
        </a:xfrm>
        <a:prstGeom prst="rect">
          <a:avLst/>
        </a:prstGeom>
        <a:noFill/>
      </xdr:spPr>
    </xdr:pic>
    <xdr:clientData/>
  </xdr:twoCellAnchor>
  <xdr:twoCellAnchor editAs="oneCell">
    <xdr:from>
      <xdr:col>9</xdr:col>
      <xdr:colOff>0</xdr:colOff>
      <xdr:row>29</xdr:row>
      <xdr:rowOff>0</xdr:rowOff>
    </xdr:from>
    <xdr:to>
      <xdr:col>23</xdr:col>
      <xdr:colOff>426720</xdr:colOff>
      <xdr:row>50</xdr:row>
      <xdr:rowOff>68580</xdr:rowOff>
    </xdr:to>
    <xdr:pic>
      <xdr:nvPicPr>
        <xdr:cNvPr id="11" name="Picture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2" cstate="print"/>
        <a:stretch>
          <a:fillRect/>
        </a:stretch>
      </xdr:blipFill>
      <xdr:spPr>
        <a:xfrm>
          <a:off x="5486400" y="5524500"/>
          <a:ext cx="8961120" cy="4145280"/>
        </a:xfrm>
        <a:prstGeom prst="rect">
          <a:avLst/>
        </a:prstGeom>
      </xdr:spPr>
    </xdr:pic>
    <xdr:clientData/>
  </xdr:twoCellAnchor>
  <xdr:twoCellAnchor editAs="oneCell">
    <xdr:from>
      <xdr:col>9</xdr:col>
      <xdr:colOff>0</xdr:colOff>
      <xdr:row>57</xdr:row>
      <xdr:rowOff>0</xdr:rowOff>
    </xdr:from>
    <xdr:to>
      <xdr:col>23</xdr:col>
      <xdr:colOff>426720</xdr:colOff>
      <xdr:row>78</xdr:row>
      <xdr:rowOff>87630</xdr:rowOff>
    </xdr:to>
    <xdr:pic>
      <xdr:nvPicPr>
        <xdr:cNvPr id="12" name="Picture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3" cstate="print"/>
        <a:stretch>
          <a:fillRect/>
        </a:stretch>
      </xdr:blipFill>
      <xdr:spPr>
        <a:xfrm>
          <a:off x="5486400" y="10858500"/>
          <a:ext cx="8961120" cy="4145280"/>
        </a:xfrm>
        <a:prstGeom prst="rect">
          <a:avLst/>
        </a:prstGeom>
      </xdr:spPr>
    </xdr:pic>
    <xdr:clientData/>
  </xdr:twoCellAnchor>
  <xdr:twoCellAnchor editAs="oneCell">
    <xdr:from>
      <xdr:col>9</xdr:col>
      <xdr:colOff>0</xdr:colOff>
      <xdr:row>85</xdr:row>
      <xdr:rowOff>0</xdr:rowOff>
    </xdr:from>
    <xdr:to>
      <xdr:col>23</xdr:col>
      <xdr:colOff>426720</xdr:colOff>
      <xdr:row>106</xdr:row>
      <xdr:rowOff>144780</xdr:rowOff>
    </xdr:to>
    <xdr:pic>
      <xdr:nvPicPr>
        <xdr:cNvPr id="13" name="Picture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4" cstate="print"/>
        <a:stretch>
          <a:fillRect/>
        </a:stretch>
      </xdr:blipFill>
      <xdr:spPr>
        <a:xfrm>
          <a:off x="5486400" y="16192500"/>
          <a:ext cx="8961120" cy="4145280"/>
        </a:xfrm>
        <a:prstGeom prst="rect">
          <a:avLst/>
        </a:prstGeom>
      </xdr:spPr>
    </xdr:pic>
    <xdr:clientData/>
  </xdr:twoCellAnchor>
  <xdr:twoCellAnchor editAs="oneCell">
    <xdr:from>
      <xdr:col>9</xdr:col>
      <xdr:colOff>0</xdr:colOff>
      <xdr:row>112</xdr:row>
      <xdr:rowOff>0</xdr:rowOff>
    </xdr:from>
    <xdr:to>
      <xdr:col>23</xdr:col>
      <xdr:colOff>426720</xdr:colOff>
      <xdr:row>133</xdr:row>
      <xdr:rowOff>144780</xdr:rowOff>
    </xdr:to>
    <xdr:pic>
      <xdr:nvPicPr>
        <xdr:cNvPr id="14" name="Picture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5" cstate="print"/>
        <a:stretch>
          <a:fillRect/>
        </a:stretch>
      </xdr:blipFill>
      <xdr:spPr>
        <a:xfrm>
          <a:off x="5486400" y="21336000"/>
          <a:ext cx="8961120" cy="4145280"/>
        </a:xfrm>
        <a:prstGeom prst="rect">
          <a:avLst/>
        </a:prstGeom>
      </xdr:spPr>
    </xdr:pic>
    <xdr:clientData/>
  </xdr:twoCellAnchor>
  <xdr:twoCellAnchor editAs="oneCell">
    <xdr:from>
      <xdr:col>9</xdr:col>
      <xdr:colOff>0</xdr:colOff>
      <xdr:row>139</xdr:row>
      <xdr:rowOff>0</xdr:rowOff>
    </xdr:from>
    <xdr:to>
      <xdr:col>23</xdr:col>
      <xdr:colOff>426720</xdr:colOff>
      <xdr:row>160</xdr:row>
      <xdr:rowOff>144780</xdr:rowOff>
    </xdr:to>
    <xdr:pic>
      <xdr:nvPicPr>
        <xdr:cNvPr id="15" name="Picture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6" cstate="print"/>
        <a:stretch>
          <a:fillRect/>
        </a:stretch>
      </xdr:blipFill>
      <xdr:spPr>
        <a:xfrm>
          <a:off x="5486400" y="26479500"/>
          <a:ext cx="8961120" cy="4145280"/>
        </a:xfrm>
        <a:prstGeom prst="rect">
          <a:avLst/>
        </a:prstGeom>
      </xdr:spPr>
    </xdr:pic>
    <xdr:clientData/>
  </xdr:twoCellAnchor>
  <xdr:twoCellAnchor editAs="oneCell">
    <xdr:from>
      <xdr:col>9</xdr:col>
      <xdr:colOff>0</xdr:colOff>
      <xdr:row>166</xdr:row>
      <xdr:rowOff>0</xdr:rowOff>
    </xdr:from>
    <xdr:to>
      <xdr:col>23</xdr:col>
      <xdr:colOff>426720</xdr:colOff>
      <xdr:row>187</xdr:row>
      <xdr:rowOff>144780</xdr:rowOff>
    </xdr:to>
    <xdr:pic>
      <xdr:nvPicPr>
        <xdr:cNvPr id="16" name="Picture 15">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7" cstate="print"/>
        <a:stretch>
          <a:fillRect/>
        </a:stretch>
      </xdr:blipFill>
      <xdr:spPr>
        <a:xfrm>
          <a:off x="5486400" y="31623000"/>
          <a:ext cx="8961120" cy="4145280"/>
        </a:xfrm>
        <a:prstGeom prst="rect">
          <a:avLst/>
        </a:prstGeom>
      </xdr:spPr>
    </xdr:pic>
    <xdr:clientData/>
  </xdr:twoCellAnchor>
  <xdr:twoCellAnchor editAs="oneCell">
    <xdr:from>
      <xdr:col>9</xdr:col>
      <xdr:colOff>0</xdr:colOff>
      <xdr:row>193</xdr:row>
      <xdr:rowOff>0</xdr:rowOff>
    </xdr:from>
    <xdr:to>
      <xdr:col>23</xdr:col>
      <xdr:colOff>426720</xdr:colOff>
      <xdr:row>214</xdr:row>
      <xdr:rowOff>144780</xdr:rowOff>
    </xdr:to>
    <xdr:pic>
      <xdr:nvPicPr>
        <xdr:cNvPr id="17" name="Picture 16">
          <a:extLst>
            <a:ext uri="{FF2B5EF4-FFF2-40B4-BE49-F238E27FC236}">
              <a16:creationId xmlns:a16="http://schemas.microsoft.com/office/drawing/2014/main" id="{00000000-0008-0000-0B00-000011000000}"/>
            </a:ext>
          </a:extLst>
        </xdr:cNvPr>
        <xdr:cNvPicPr>
          <a:picLocks noChangeAspect="1"/>
        </xdr:cNvPicPr>
      </xdr:nvPicPr>
      <xdr:blipFill>
        <a:blip xmlns:r="http://schemas.openxmlformats.org/officeDocument/2006/relationships" r:embed="rId8" cstate="print"/>
        <a:stretch>
          <a:fillRect/>
        </a:stretch>
      </xdr:blipFill>
      <xdr:spPr>
        <a:xfrm>
          <a:off x="5486400" y="36766500"/>
          <a:ext cx="8961120" cy="4145280"/>
        </a:xfrm>
        <a:prstGeom prst="rect">
          <a:avLst/>
        </a:prstGeom>
      </xdr:spPr>
    </xdr:pic>
    <xdr:clientData/>
  </xdr:twoCellAnchor>
  <xdr:twoCellAnchor editAs="oneCell">
    <xdr:from>
      <xdr:col>9</xdr:col>
      <xdr:colOff>0</xdr:colOff>
      <xdr:row>220</xdr:row>
      <xdr:rowOff>0</xdr:rowOff>
    </xdr:from>
    <xdr:to>
      <xdr:col>23</xdr:col>
      <xdr:colOff>426720</xdr:colOff>
      <xdr:row>241</xdr:row>
      <xdr:rowOff>144780</xdr:rowOff>
    </xdr:to>
    <xdr:pic>
      <xdr:nvPicPr>
        <xdr:cNvPr id="18" name="Picture 17">
          <a:extLst>
            <a:ext uri="{FF2B5EF4-FFF2-40B4-BE49-F238E27FC236}">
              <a16:creationId xmlns:a16="http://schemas.microsoft.com/office/drawing/2014/main" id="{00000000-0008-0000-0B00-000012000000}"/>
            </a:ext>
          </a:extLst>
        </xdr:cNvPr>
        <xdr:cNvPicPr>
          <a:picLocks noChangeAspect="1"/>
        </xdr:cNvPicPr>
      </xdr:nvPicPr>
      <xdr:blipFill>
        <a:blip xmlns:r="http://schemas.openxmlformats.org/officeDocument/2006/relationships" r:embed="rId9" cstate="print"/>
        <a:stretch>
          <a:fillRect/>
        </a:stretch>
      </xdr:blipFill>
      <xdr:spPr>
        <a:xfrm>
          <a:off x="5486400" y="41929050"/>
          <a:ext cx="8961120" cy="4145280"/>
        </a:xfrm>
        <a:prstGeom prst="rect">
          <a:avLst/>
        </a:prstGeom>
      </xdr:spPr>
    </xdr:pic>
    <xdr:clientData/>
  </xdr:twoCellAnchor>
  <xdr:twoCellAnchor editAs="oneCell">
    <xdr:from>
      <xdr:col>29</xdr:col>
      <xdr:colOff>0</xdr:colOff>
      <xdr:row>1</xdr:row>
      <xdr:rowOff>0</xdr:rowOff>
    </xdr:from>
    <xdr:to>
      <xdr:col>43</xdr:col>
      <xdr:colOff>426720</xdr:colOff>
      <xdr:row>22</xdr:row>
      <xdr:rowOff>87630</xdr:rowOff>
    </xdr:to>
    <xdr:pic>
      <xdr:nvPicPr>
        <xdr:cNvPr id="19" name="Picture 18">
          <a:extLst>
            <a:ext uri="{FF2B5EF4-FFF2-40B4-BE49-F238E27FC236}">
              <a16:creationId xmlns:a16="http://schemas.microsoft.com/office/drawing/2014/main" id="{00000000-0008-0000-0B00-000013000000}"/>
            </a:ext>
          </a:extLst>
        </xdr:cNvPr>
        <xdr:cNvPicPr>
          <a:picLocks noChangeAspect="1"/>
        </xdr:cNvPicPr>
      </xdr:nvPicPr>
      <xdr:blipFill>
        <a:blip xmlns:r="http://schemas.openxmlformats.org/officeDocument/2006/relationships" r:embed="rId10" cstate="print"/>
        <a:stretch>
          <a:fillRect/>
        </a:stretch>
      </xdr:blipFill>
      <xdr:spPr>
        <a:xfrm>
          <a:off x="17678400" y="190500"/>
          <a:ext cx="8961120" cy="4145280"/>
        </a:xfrm>
        <a:prstGeom prst="rect">
          <a:avLst/>
        </a:prstGeom>
      </xdr:spPr>
    </xdr:pic>
    <xdr:clientData/>
  </xdr:twoCellAnchor>
  <xdr:twoCellAnchor editAs="oneCell">
    <xdr:from>
      <xdr:col>29</xdr:col>
      <xdr:colOff>0</xdr:colOff>
      <xdr:row>29</xdr:row>
      <xdr:rowOff>0</xdr:rowOff>
    </xdr:from>
    <xdr:to>
      <xdr:col>43</xdr:col>
      <xdr:colOff>426720</xdr:colOff>
      <xdr:row>50</xdr:row>
      <xdr:rowOff>68580</xdr:rowOff>
    </xdr:to>
    <xdr:pic>
      <xdr:nvPicPr>
        <xdr:cNvPr id="21" name="Picture 20">
          <a:extLst>
            <a:ext uri="{FF2B5EF4-FFF2-40B4-BE49-F238E27FC236}">
              <a16:creationId xmlns:a16="http://schemas.microsoft.com/office/drawing/2014/main" id="{00000000-0008-0000-0B00-000015000000}"/>
            </a:ext>
          </a:extLst>
        </xdr:cNvPr>
        <xdr:cNvPicPr>
          <a:picLocks noChangeAspect="1"/>
        </xdr:cNvPicPr>
      </xdr:nvPicPr>
      <xdr:blipFill>
        <a:blip xmlns:r="http://schemas.openxmlformats.org/officeDocument/2006/relationships" r:embed="rId11" cstate="print"/>
        <a:stretch>
          <a:fillRect/>
        </a:stretch>
      </xdr:blipFill>
      <xdr:spPr>
        <a:xfrm>
          <a:off x="17678400" y="5524500"/>
          <a:ext cx="8961120" cy="4145280"/>
        </a:xfrm>
        <a:prstGeom prst="rect">
          <a:avLst/>
        </a:prstGeom>
      </xdr:spPr>
    </xdr:pic>
    <xdr:clientData/>
  </xdr:twoCellAnchor>
  <xdr:twoCellAnchor editAs="oneCell">
    <xdr:from>
      <xdr:col>29</xdr:col>
      <xdr:colOff>0</xdr:colOff>
      <xdr:row>57</xdr:row>
      <xdr:rowOff>0</xdr:rowOff>
    </xdr:from>
    <xdr:to>
      <xdr:col>43</xdr:col>
      <xdr:colOff>426720</xdr:colOff>
      <xdr:row>78</xdr:row>
      <xdr:rowOff>87630</xdr:rowOff>
    </xdr:to>
    <xdr:pic>
      <xdr:nvPicPr>
        <xdr:cNvPr id="22" name="Picture 21">
          <a:extLst>
            <a:ext uri="{FF2B5EF4-FFF2-40B4-BE49-F238E27FC236}">
              <a16:creationId xmlns:a16="http://schemas.microsoft.com/office/drawing/2014/main" id="{00000000-0008-0000-0B00-000016000000}"/>
            </a:ext>
          </a:extLst>
        </xdr:cNvPr>
        <xdr:cNvPicPr>
          <a:picLocks noChangeAspect="1"/>
        </xdr:cNvPicPr>
      </xdr:nvPicPr>
      <xdr:blipFill>
        <a:blip xmlns:r="http://schemas.openxmlformats.org/officeDocument/2006/relationships" r:embed="rId12" cstate="print"/>
        <a:stretch>
          <a:fillRect/>
        </a:stretch>
      </xdr:blipFill>
      <xdr:spPr>
        <a:xfrm>
          <a:off x="17678400" y="10858500"/>
          <a:ext cx="8961120" cy="4145280"/>
        </a:xfrm>
        <a:prstGeom prst="rect">
          <a:avLst/>
        </a:prstGeom>
      </xdr:spPr>
    </xdr:pic>
    <xdr:clientData/>
  </xdr:twoCellAnchor>
  <xdr:twoCellAnchor editAs="oneCell">
    <xdr:from>
      <xdr:col>29</xdr:col>
      <xdr:colOff>0</xdr:colOff>
      <xdr:row>85</xdr:row>
      <xdr:rowOff>0</xdr:rowOff>
    </xdr:from>
    <xdr:to>
      <xdr:col>43</xdr:col>
      <xdr:colOff>426720</xdr:colOff>
      <xdr:row>106</xdr:row>
      <xdr:rowOff>144780</xdr:rowOff>
    </xdr:to>
    <xdr:pic>
      <xdr:nvPicPr>
        <xdr:cNvPr id="23" name="Picture 22">
          <a:extLst>
            <a:ext uri="{FF2B5EF4-FFF2-40B4-BE49-F238E27FC236}">
              <a16:creationId xmlns:a16="http://schemas.microsoft.com/office/drawing/2014/main" id="{00000000-0008-0000-0B00-000017000000}"/>
            </a:ext>
          </a:extLst>
        </xdr:cNvPr>
        <xdr:cNvPicPr>
          <a:picLocks noChangeAspect="1"/>
        </xdr:cNvPicPr>
      </xdr:nvPicPr>
      <xdr:blipFill>
        <a:blip xmlns:r="http://schemas.openxmlformats.org/officeDocument/2006/relationships" r:embed="rId13" cstate="print"/>
        <a:stretch>
          <a:fillRect/>
        </a:stretch>
      </xdr:blipFill>
      <xdr:spPr>
        <a:xfrm>
          <a:off x="17678400" y="16211550"/>
          <a:ext cx="8961120" cy="4145280"/>
        </a:xfrm>
        <a:prstGeom prst="rect">
          <a:avLst/>
        </a:prstGeom>
      </xdr:spPr>
    </xdr:pic>
    <xdr:clientData/>
  </xdr:twoCellAnchor>
  <xdr:twoCellAnchor editAs="oneCell">
    <xdr:from>
      <xdr:col>29</xdr:col>
      <xdr:colOff>0</xdr:colOff>
      <xdr:row>112</xdr:row>
      <xdr:rowOff>0</xdr:rowOff>
    </xdr:from>
    <xdr:to>
      <xdr:col>43</xdr:col>
      <xdr:colOff>426720</xdr:colOff>
      <xdr:row>133</xdr:row>
      <xdr:rowOff>144780</xdr:rowOff>
    </xdr:to>
    <xdr:pic>
      <xdr:nvPicPr>
        <xdr:cNvPr id="24" name="Picture 23">
          <a:extLst>
            <a:ext uri="{FF2B5EF4-FFF2-40B4-BE49-F238E27FC236}">
              <a16:creationId xmlns:a16="http://schemas.microsoft.com/office/drawing/2014/main" id="{00000000-0008-0000-0B00-000018000000}"/>
            </a:ext>
          </a:extLst>
        </xdr:cNvPr>
        <xdr:cNvPicPr>
          <a:picLocks noChangeAspect="1"/>
        </xdr:cNvPicPr>
      </xdr:nvPicPr>
      <xdr:blipFill>
        <a:blip xmlns:r="http://schemas.openxmlformats.org/officeDocument/2006/relationships" r:embed="rId14" cstate="print"/>
        <a:stretch>
          <a:fillRect/>
        </a:stretch>
      </xdr:blipFill>
      <xdr:spPr>
        <a:xfrm>
          <a:off x="17678400" y="21355050"/>
          <a:ext cx="8961120" cy="4145280"/>
        </a:xfrm>
        <a:prstGeom prst="rect">
          <a:avLst/>
        </a:prstGeom>
      </xdr:spPr>
    </xdr:pic>
    <xdr:clientData/>
  </xdr:twoCellAnchor>
  <xdr:twoCellAnchor>
    <xdr:from>
      <xdr:col>55</xdr:col>
      <xdr:colOff>390525</xdr:colOff>
      <xdr:row>26</xdr:row>
      <xdr:rowOff>19050</xdr:rowOff>
    </xdr:from>
    <xdr:to>
      <xdr:col>65</xdr:col>
      <xdr:colOff>238125</xdr:colOff>
      <xdr:row>40</xdr:row>
      <xdr:rowOff>0</xdr:rowOff>
    </xdr:to>
    <xdr:graphicFrame macro="">
      <xdr:nvGraphicFramePr>
        <xdr:cNvPr id="26" name="Chart 25">
          <a:extLst>
            <a:ext uri="{FF2B5EF4-FFF2-40B4-BE49-F238E27FC236}">
              <a16:creationId xmlns:a16="http://schemas.microsoft.com/office/drawing/2014/main" id="{00000000-0008-0000-0B00-00001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55</xdr:col>
      <xdr:colOff>400050</xdr:colOff>
      <xdr:row>45</xdr:row>
      <xdr:rowOff>152399</xdr:rowOff>
    </xdr:from>
    <xdr:to>
      <xdr:col>65</xdr:col>
      <xdr:colOff>285750</xdr:colOff>
      <xdr:row>60</xdr:row>
      <xdr:rowOff>85724</xdr:rowOff>
    </xdr:to>
    <xdr:graphicFrame macro="">
      <xdr:nvGraphicFramePr>
        <xdr:cNvPr id="27" name="Chart 26">
          <a:extLst>
            <a:ext uri="{FF2B5EF4-FFF2-40B4-BE49-F238E27FC236}">
              <a16:creationId xmlns:a16="http://schemas.microsoft.com/office/drawing/2014/main" id="{00000000-0008-0000-0B00-00001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55</xdr:col>
      <xdr:colOff>495299</xdr:colOff>
      <xdr:row>61</xdr:row>
      <xdr:rowOff>142874</xdr:rowOff>
    </xdr:from>
    <xdr:to>
      <xdr:col>65</xdr:col>
      <xdr:colOff>371475</xdr:colOff>
      <xdr:row>78</xdr:row>
      <xdr:rowOff>114300</xdr:rowOff>
    </xdr:to>
    <xdr:graphicFrame macro="">
      <xdr:nvGraphicFramePr>
        <xdr:cNvPr id="30" name="Chart 29">
          <a:extLst>
            <a:ext uri="{FF2B5EF4-FFF2-40B4-BE49-F238E27FC236}">
              <a16:creationId xmlns:a16="http://schemas.microsoft.com/office/drawing/2014/main" id="{00000000-0008-0000-0B00-00001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88</xdr:col>
      <xdr:colOff>266699</xdr:colOff>
      <xdr:row>18</xdr:row>
      <xdr:rowOff>80961</xdr:rowOff>
    </xdr:from>
    <xdr:to>
      <xdr:col>100</xdr:col>
      <xdr:colOff>600075</xdr:colOff>
      <xdr:row>38</xdr:row>
      <xdr:rowOff>28575</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91</xdr:col>
      <xdr:colOff>247650</xdr:colOff>
      <xdr:row>31</xdr:row>
      <xdr:rowOff>171449</xdr:rowOff>
    </xdr:from>
    <xdr:to>
      <xdr:col>92</xdr:col>
      <xdr:colOff>228599</xdr:colOff>
      <xdr:row>33</xdr:row>
      <xdr:rowOff>28575</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56940450" y="6172199"/>
          <a:ext cx="590549" cy="238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20.2%</a:t>
          </a:r>
        </a:p>
      </xdr:txBody>
    </xdr:sp>
    <xdr:clientData/>
  </xdr:twoCellAnchor>
  <xdr:twoCellAnchor>
    <xdr:from>
      <xdr:col>96</xdr:col>
      <xdr:colOff>152400</xdr:colOff>
      <xdr:row>20</xdr:row>
      <xdr:rowOff>28575</xdr:rowOff>
    </xdr:from>
    <xdr:to>
      <xdr:col>97</xdr:col>
      <xdr:colOff>85725</xdr:colOff>
      <xdr:row>21</xdr:row>
      <xdr:rowOff>38100</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59893200" y="3886200"/>
          <a:ext cx="542925" cy="209550"/>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17.9%</a:t>
          </a:r>
        </a:p>
      </xdr:txBody>
    </xdr:sp>
    <xdr:clientData/>
  </xdr:twoCellAnchor>
  <xdr:twoCellAnchor>
    <xdr:from>
      <xdr:col>96</xdr:col>
      <xdr:colOff>114300</xdr:colOff>
      <xdr:row>21</xdr:row>
      <xdr:rowOff>133350</xdr:rowOff>
    </xdr:from>
    <xdr:to>
      <xdr:col>97</xdr:col>
      <xdr:colOff>85725</xdr:colOff>
      <xdr:row>22</xdr:row>
      <xdr:rowOff>152400</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59855100" y="4191000"/>
          <a:ext cx="581025" cy="20955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18.2%</a:t>
          </a:r>
        </a:p>
      </xdr:txBody>
    </xdr:sp>
    <xdr:clientData/>
  </xdr:twoCellAnchor>
  <xdr:twoCellAnchor>
    <xdr:from>
      <xdr:col>91</xdr:col>
      <xdr:colOff>438150</xdr:colOff>
      <xdr:row>19</xdr:row>
      <xdr:rowOff>171450</xdr:rowOff>
    </xdr:from>
    <xdr:to>
      <xdr:col>92</xdr:col>
      <xdr:colOff>438150</xdr:colOff>
      <xdr:row>21</xdr:row>
      <xdr:rowOff>9525</xdr:rowOff>
    </xdr:to>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57130950" y="3829050"/>
          <a:ext cx="609600" cy="2381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18.5%</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807720</xdr:colOff>
      <xdr:row>0</xdr:row>
      <xdr:rowOff>45720</xdr:rowOff>
    </xdr:from>
    <xdr:to>
      <xdr:col>13</xdr:col>
      <xdr:colOff>60960</xdr:colOff>
      <xdr:row>0</xdr:row>
      <xdr:rowOff>678180</xdr:rowOff>
    </xdr:to>
    <xdr:pic>
      <xdr:nvPicPr>
        <xdr:cNvPr id="3" name="Picture 2" descr="M&amp;R logo redo.BMP">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41080" y="45720"/>
          <a:ext cx="6781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c:userShapes xmlns:c="http://schemas.openxmlformats.org/drawingml/2006/chart">
  <cdr:relSizeAnchor xmlns:cdr="http://schemas.openxmlformats.org/drawingml/2006/chartDrawing">
    <cdr:from>
      <cdr:x>0.58833</cdr:x>
      <cdr:y>0.24655</cdr:y>
    </cdr:from>
    <cdr:to>
      <cdr:x>0.68833</cdr:x>
      <cdr:y>0.31394</cdr:y>
    </cdr:to>
    <cdr:sp macro="" textlink="">
      <cdr:nvSpPr>
        <cdr:cNvPr id="2" name="TextBox 1"/>
        <cdr:cNvSpPr txBox="1"/>
      </cdr:nvSpPr>
      <cdr:spPr>
        <a:xfrm xmlns:a="http://schemas.openxmlformats.org/drawingml/2006/main">
          <a:off x="3362325" y="766764"/>
          <a:ext cx="5715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0.59</cdr:x>
      <cdr:y>0.27412</cdr:y>
    </cdr:from>
    <cdr:to>
      <cdr:x>0.69</cdr:x>
      <cdr:y>0.33844</cdr:y>
    </cdr:to>
    <cdr:sp macro="" textlink="">
      <cdr:nvSpPr>
        <cdr:cNvPr id="3" name="TextBox 2"/>
        <cdr:cNvSpPr txBox="1"/>
      </cdr:nvSpPr>
      <cdr:spPr>
        <a:xfrm xmlns:a="http://schemas.openxmlformats.org/drawingml/2006/main">
          <a:off x="3371850" y="852489"/>
          <a:ext cx="571500"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0.64508</cdr:x>
      <cdr:y>0.24104</cdr:y>
    </cdr:from>
    <cdr:to>
      <cdr:x>0.72603</cdr:x>
      <cdr:y>0.2979</cdr:y>
    </cdr:to>
    <cdr:sp macro="" textlink="">
      <cdr:nvSpPr>
        <cdr:cNvPr id="4" name="TextBox 3"/>
        <cdr:cNvSpPr txBox="1"/>
      </cdr:nvSpPr>
      <cdr:spPr>
        <a:xfrm xmlns:a="http://schemas.openxmlformats.org/drawingml/2006/main">
          <a:off x="4933951" y="928690"/>
          <a:ext cx="619125" cy="219074"/>
        </a:xfrm>
        <a:prstGeom xmlns:a="http://schemas.openxmlformats.org/drawingml/2006/main" prst="rect">
          <a:avLst/>
        </a:prstGeom>
        <a:ln xmlns:a="http://schemas.openxmlformats.org/drawingml/2006/main" w="3175">
          <a:noFill/>
        </a:ln>
      </cdr:spPr>
      <cdr:txBody>
        <a:bodyPr xmlns:a="http://schemas.openxmlformats.org/drawingml/2006/main" vertOverflow="clip" wrap="square" rtlCol="0"/>
        <a:lstStyle xmlns:a="http://schemas.openxmlformats.org/drawingml/2006/main"/>
        <a:p xmlns:a="http://schemas.openxmlformats.org/drawingml/2006/main">
          <a:r>
            <a:rPr lang="en-US" sz="1100"/>
            <a:t>17.4%</a:t>
          </a:r>
        </a:p>
      </cdr:txBody>
    </cdr:sp>
  </cdr:relSizeAnchor>
  <cdr:relSizeAnchor xmlns:cdr="http://schemas.openxmlformats.org/drawingml/2006/chartDrawing">
    <cdr:from>
      <cdr:x>0.65131</cdr:x>
      <cdr:y>0.32757</cdr:y>
    </cdr:from>
    <cdr:to>
      <cdr:x>0.73101</cdr:x>
      <cdr:y>0.37701</cdr:y>
    </cdr:to>
    <cdr:sp macro="" textlink="">
      <cdr:nvSpPr>
        <cdr:cNvPr id="5" name="TextBox 4"/>
        <cdr:cNvSpPr txBox="1"/>
      </cdr:nvSpPr>
      <cdr:spPr>
        <a:xfrm xmlns:a="http://schemas.openxmlformats.org/drawingml/2006/main">
          <a:off x="4981576" y="1262064"/>
          <a:ext cx="6096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19.1%</a:t>
          </a:r>
        </a:p>
      </cdr:txBody>
    </cdr:sp>
  </cdr:relSizeAnchor>
  <cdr:relSizeAnchor xmlns:cdr="http://schemas.openxmlformats.org/drawingml/2006/chartDrawing">
    <cdr:from>
      <cdr:x>0.61768</cdr:x>
      <cdr:y>0.43387</cdr:y>
    </cdr:from>
    <cdr:to>
      <cdr:x>0.69863</cdr:x>
      <cdr:y>0.48826</cdr:y>
    </cdr:to>
    <cdr:sp macro="" textlink="">
      <cdr:nvSpPr>
        <cdr:cNvPr id="6" name="TextBox 5"/>
        <cdr:cNvSpPr txBox="1"/>
      </cdr:nvSpPr>
      <cdr:spPr>
        <a:xfrm xmlns:a="http://schemas.openxmlformats.org/drawingml/2006/main">
          <a:off x="4724400" y="1671639"/>
          <a:ext cx="61912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0.64633</cdr:x>
      <cdr:y>0.39679</cdr:y>
    </cdr:from>
    <cdr:to>
      <cdr:x>0.72105</cdr:x>
      <cdr:y>0.45365</cdr:y>
    </cdr:to>
    <cdr:sp macro="" textlink="">
      <cdr:nvSpPr>
        <cdr:cNvPr id="7" name="TextBox 6"/>
        <cdr:cNvSpPr txBox="1"/>
      </cdr:nvSpPr>
      <cdr:spPr>
        <a:xfrm xmlns:a="http://schemas.openxmlformats.org/drawingml/2006/main">
          <a:off x="4943476" y="1528764"/>
          <a:ext cx="571500"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19.8%</a:t>
          </a:r>
        </a:p>
      </cdr:txBody>
    </cdr:sp>
  </cdr:relSizeAnchor>
  <cdr:relSizeAnchor xmlns:cdr="http://schemas.openxmlformats.org/drawingml/2006/chartDrawing">
    <cdr:from>
      <cdr:x>0.22042</cdr:x>
      <cdr:y>0.51792</cdr:y>
    </cdr:from>
    <cdr:to>
      <cdr:x>0.29639</cdr:x>
      <cdr:y>0.56984</cdr:y>
    </cdr:to>
    <cdr:sp macro="" textlink="">
      <cdr:nvSpPr>
        <cdr:cNvPr id="8" name="TextBox 7"/>
        <cdr:cNvSpPr txBox="1"/>
      </cdr:nvSpPr>
      <cdr:spPr>
        <a:xfrm xmlns:a="http://schemas.openxmlformats.org/drawingml/2006/main">
          <a:off x="1685925" y="1995488"/>
          <a:ext cx="58102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20.5%</a:t>
          </a:r>
        </a:p>
      </cdr:txBody>
    </cdr:sp>
  </cdr:relSizeAnchor>
  <cdr:relSizeAnchor xmlns:cdr="http://schemas.openxmlformats.org/drawingml/2006/chartDrawing">
    <cdr:from>
      <cdr:x>0.1868</cdr:x>
      <cdr:y>0.3597</cdr:y>
    </cdr:from>
    <cdr:to>
      <cdr:x>0.25778</cdr:x>
      <cdr:y>0.41656</cdr:y>
    </cdr:to>
    <cdr:sp macro="" textlink="">
      <cdr:nvSpPr>
        <cdr:cNvPr id="9" name="TextBox 8"/>
        <cdr:cNvSpPr txBox="1"/>
      </cdr:nvSpPr>
      <cdr:spPr>
        <a:xfrm xmlns:a="http://schemas.openxmlformats.org/drawingml/2006/main">
          <a:off x="1428751" y="1385889"/>
          <a:ext cx="542925"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18.6%</a:t>
          </a:r>
        </a:p>
      </cdr:txBody>
    </cdr:sp>
  </cdr:relSizeAnchor>
  <cdr:relSizeAnchor xmlns:cdr="http://schemas.openxmlformats.org/drawingml/2006/chartDrawing">
    <cdr:from>
      <cdr:x>0.22914</cdr:x>
      <cdr:y>0.21384</cdr:y>
    </cdr:from>
    <cdr:to>
      <cdr:x>0.29514</cdr:x>
      <cdr:y>0.26823</cdr:y>
    </cdr:to>
    <cdr:sp macro="" textlink="">
      <cdr:nvSpPr>
        <cdr:cNvPr id="10" name="TextBox 9"/>
        <cdr:cNvSpPr txBox="1"/>
      </cdr:nvSpPr>
      <cdr:spPr>
        <a:xfrm xmlns:a="http://schemas.openxmlformats.org/drawingml/2006/main">
          <a:off x="1752601" y="823914"/>
          <a:ext cx="50482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18%</a:t>
          </a:r>
        </a:p>
      </cdr:txBody>
    </cdr:sp>
  </cdr:relSizeAnchor>
  <cdr:relSizeAnchor xmlns:cdr="http://schemas.openxmlformats.org/drawingml/2006/chartDrawing">
    <cdr:from>
      <cdr:x>0.467</cdr:x>
      <cdr:y>0.22126</cdr:y>
    </cdr:from>
    <cdr:to>
      <cdr:x>0.55293</cdr:x>
      <cdr:y>0.26823</cdr:y>
    </cdr:to>
    <cdr:sp macro="" textlink="">
      <cdr:nvSpPr>
        <cdr:cNvPr id="11" name="TextBox 10"/>
        <cdr:cNvSpPr txBox="1"/>
      </cdr:nvSpPr>
      <cdr:spPr>
        <a:xfrm xmlns:a="http://schemas.openxmlformats.org/drawingml/2006/main">
          <a:off x="3571876" y="852489"/>
          <a:ext cx="657225"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0.39352</cdr:x>
      <cdr:y>0.21879</cdr:y>
    </cdr:from>
    <cdr:to>
      <cdr:x>0.46451</cdr:x>
      <cdr:y>0.28554</cdr:y>
    </cdr:to>
    <cdr:sp macro="" textlink="">
      <cdr:nvSpPr>
        <cdr:cNvPr id="12" name="TextBox 11"/>
        <cdr:cNvSpPr txBox="1"/>
      </cdr:nvSpPr>
      <cdr:spPr>
        <a:xfrm xmlns:a="http://schemas.openxmlformats.org/drawingml/2006/main">
          <a:off x="3009901" y="842963"/>
          <a:ext cx="542925" cy="2571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19.9%</a:t>
          </a:r>
        </a:p>
      </cdr:txBody>
    </cdr:sp>
  </cdr:relSizeAnchor>
  <cdr:relSizeAnchor xmlns:cdr="http://schemas.openxmlformats.org/drawingml/2006/chartDrawing">
    <cdr:from>
      <cdr:x>0.42341</cdr:x>
      <cdr:y>0.38443</cdr:y>
    </cdr:from>
    <cdr:to>
      <cdr:x>0.4944</cdr:x>
      <cdr:y>0.45612</cdr:y>
    </cdr:to>
    <cdr:sp macro="" textlink="">
      <cdr:nvSpPr>
        <cdr:cNvPr id="13" name="TextBox 12"/>
        <cdr:cNvSpPr txBox="1"/>
      </cdr:nvSpPr>
      <cdr:spPr>
        <a:xfrm xmlns:a="http://schemas.openxmlformats.org/drawingml/2006/main">
          <a:off x="3238501" y="1481138"/>
          <a:ext cx="5429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17.7%</a:t>
          </a:r>
        </a:p>
      </cdr:txBody>
    </cdr:sp>
  </cdr:relSizeAnchor>
  <cdr:relSizeAnchor xmlns:cdr="http://schemas.openxmlformats.org/drawingml/2006/chartDrawing">
    <cdr:from>
      <cdr:x>0.38356</cdr:x>
      <cdr:y>0.53523</cdr:y>
    </cdr:from>
    <cdr:to>
      <cdr:x>0.46077</cdr:x>
      <cdr:y>0.59703</cdr:y>
    </cdr:to>
    <cdr:sp macro="" textlink="">
      <cdr:nvSpPr>
        <cdr:cNvPr id="14" name="TextBox 13"/>
        <cdr:cNvSpPr txBox="1"/>
      </cdr:nvSpPr>
      <cdr:spPr>
        <a:xfrm xmlns:a="http://schemas.openxmlformats.org/drawingml/2006/main">
          <a:off x="2933701" y="2062164"/>
          <a:ext cx="59055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19.2%</a:t>
          </a:r>
        </a:p>
      </cdr:txBody>
    </cdr:sp>
  </cdr:relSizeAnchor>
  <cdr:relSizeAnchor xmlns:cdr="http://schemas.openxmlformats.org/drawingml/2006/chartDrawing">
    <cdr:from>
      <cdr:x>0.34371</cdr:x>
      <cdr:y>0.68356</cdr:y>
    </cdr:from>
    <cdr:to>
      <cdr:x>0.42715</cdr:x>
      <cdr:y>0.74042</cdr:y>
    </cdr:to>
    <cdr:sp macro="" textlink="">
      <cdr:nvSpPr>
        <cdr:cNvPr id="15" name="TextBox 14"/>
        <cdr:cNvSpPr txBox="1"/>
      </cdr:nvSpPr>
      <cdr:spPr>
        <a:xfrm xmlns:a="http://schemas.openxmlformats.org/drawingml/2006/main">
          <a:off x="2628901" y="2633664"/>
          <a:ext cx="638175"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20.2%</a:t>
          </a:r>
        </a:p>
      </cdr:txBody>
    </cdr:sp>
  </cdr:relSizeAnchor>
  <cdr:relSizeAnchor xmlns:cdr="http://schemas.openxmlformats.org/drawingml/2006/chartDrawing">
    <cdr:from>
      <cdr:x>0.30012</cdr:x>
      <cdr:y>0.41656</cdr:y>
    </cdr:from>
    <cdr:to>
      <cdr:x>0.36986</cdr:x>
      <cdr:y>0.48331</cdr:y>
    </cdr:to>
    <cdr:sp macro="" textlink="">
      <cdr:nvSpPr>
        <cdr:cNvPr id="16" name="TextBox 15"/>
        <cdr:cNvSpPr txBox="1"/>
      </cdr:nvSpPr>
      <cdr:spPr>
        <a:xfrm xmlns:a="http://schemas.openxmlformats.org/drawingml/2006/main">
          <a:off x="2295527" y="1604964"/>
          <a:ext cx="533400"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18.6%</a:t>
          </a:r>
        </a:p>
      </cdr:txBody>
    </cdr:sp>
  </cdr:relSizeAnchor>
  <cdr:relSizeAnchor xmlns:cdr="http://schemas.openxmlformats.org/drawingml/2006/chartDrawing">
    <cdr:from>
      <cdr:x>0.599</cdr:x>
      <cdr:y>0.5649</cdr:y>
    </cdr:from>
    <cdr:to>
      <cdr:x>0.71108</cdr:x>
      <cdr:y>0.6267</cdr:y>
    </cdr:to>
    <cdr:sp macro="" textlink="">
      <cdr:nvSpPr>
        <cdr:cNvPr id="20" name="Line Callout 2 (No Border) 19"/>
        <cdr:cNvSpPr/>
      </cdr:nvSpPr>
      <cdr:spPr>
        <a:xfrm xmlns:a="http://schemas.openxmlformats.org/drawingml/2006/main">
          <a:off x="4581526" y="2176464"/>
          <a:ext cx="857250" cy="238125"/>
        </a:xfrm>
        <a:prstGeom xmlns:a="http://schemas.openxmlformats.org/drawingml/2006/main" prst="callout2">
          <a:avLst>
            <a:gd name="adj1" fmla="val 18750"/>
            <a:gd name="adj2" fmla="val -8333"/>
            <a:gd name="adj3" fmla="val 18750"/>
            <a:gd name="adj4" fmla="val -16667"/>
            <a:gd name="adj5" fmla="val -303500"/>
            <a:gd name="adj6" fmla="val 45114"/>
          </a:avLst>
        </a:prstGeom>
        <a:solidFill xmlns:a="http://schemas.openxmlformats.org/drawingml/2006/main">
          <a:schemeClr val="accent5">
            <a:lumMod val="60000"/>
            <a:lumOff val="40000"/>
          </a:schemeClr>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n-US"/>
            <a:t>void  Ratio</a:t>
          </a:r>
        </a:p>
      </cdr:txBody>
    </cdr:sp>
  </cdr:relSizeAnchor>
</c:userShapes>
</file>

<file path=xl/drawings/drawing31.xml><?xml version="1.0" encoding="utf-8"?>
<xdr:wsDr xmlns:xdr="http://schemas.openxmlformats.org/drawingml/2006/spreadsheetDrawing" xmlns:a="http://schemas.openxmlformats.org/drawingml/2006/main">
  <xdr:oneCellAnchor>
    <xdr:from>
      <xdr:col>20</xdr:col>
      <xdr:colOff>469867</xdr:colOff>
      <xdr:row>13</xdr:row>
      <xdr:rowOff>28575</xdr:rowOff>
    </xdr:from>
    <xdr:ext cx="911257" cy="476250"/>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2747592" y="2514600"/>
          <a:ext cx="911257"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oneCellAnchor>
    <xdr:from>
      <xdr:col>25</xdr:col>
      <xdr:colOff>333375</xdr:colOff>
      <xdr:row>31</xdr:row>
      <xdr:rowOff>123824</xdr:rowOff>
    </xdr:from>
    <xdr:ext cx="1057275" cy="311496"/>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15659100" y="6124574"/>
          <a:ext cx="10572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i="0">
              <a:latin typeface="Cambria Math"/>
            </a:rPr>
            <a:t>∑24_(</a:t>
          </a:r>
          <a:r>
            <a:rPr lang="en-US" sz="1400" b="0" i="0">
              <a:latin typeface="Cambria Math"/>
            </a:rPr>
            <a:t>𝑖=1)^𝑛▒𝑟</a:t>
          </a:r>
          <a:r>
            <a:rPr lang="en-US" sz="1400" i="0">
              <a:latin typeface="Cambria Math"/>
            </a:rPr>
            <a:t>𝑖=</a:t>
          </a:r>
          <a:r>
            <a:rPr lang="en-US" sz="1400"/>
            <a:t>1</a:t>
          </a:r>
        </a:p>
      </xdr:txBody>
    </xdr:sp>
    <xdr:clientData/>
  </xdr:oneCellAnchor>
  <xdr:oneCellAnchor>
    <xdr:from>
      <xdr:col>23</xdr:col>
      <xdr:colOff>400051</xdr:colOff>
      <xdr:row>31</xdr:row>
      <xdr:rowOff>28575</xdr:rowOff>
    </xdr:from>
    <xdr:ext cx="409574" cy="533400"/>
    <xdr:sp macro="" textlink="">
      <xdr:nvSpPr>
        <xdr:cNvPr id="10" name="TextBox 9">
          <a:extLst>
            <a:ext uri="{FF2B5EF4-FFF2-40B4-BE49-F238E27FC236}">
              <a16:creationId xmlns:a16="http://schemas.microsoft.com/office/drawing/2014/main" id="{00000000-0008-0000-0C00-00000A000000}"/>
            </a:ext>
          </a:extLst>
        </xdr:cNvPr>
        <xdr:cNvSpPr txBox="1"/>
      </xdr:nvSpPr>
      <xdr:spPr>
        <a:xfrm>
          <a:off x="14506576" y="6029325"/>
          <a:ext cx="409574"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900" i="0">
              <a:latin typeface="Cambria Math"/>
            </a:rPr>
            <a:t>∑24_(</a:t>
          </a:r>
          <a:r>
            <a:rPr lang="en-US" sz="900" b="0" i="0">
              <a:latin typeface="Cambria Math"/>
            </a:rPr>
            <a:t>𝑖=1)^𝑛▒</a:t>
          </a:r>
          <a:r>
            <a:rPr lang="el-GR" sz="900" i="0">
              <a:latin typeface="Cambria Math"/>
            </a:rPr>
            <a:t>𝜙</a:t>
          </a:r>
          <a:r>
            <a:rPr lang="en-US" sz="900" i="0">
              <a:latin typeface="Cambria Math"/>
            </a:rPr>
            <a:t>𝑖</a:t>
          </a:r>
          <a:endParaRPr lang="en-US" sz="900"/>
        </a:p>
      </xdr:txBody>
    </xdr:sp>
    <xdr:clientData/>
  </xdr:oneCellAnchor>
  <xdr:oneCellAnchor>
    <xdr:from>
      <xdr:col>31</xdr:col>
      <xdr:colOff>200342</xdr:colOff>
      <xdr:row>8</xdr:row>
      <xdr:rowOff>132143</xdr:rowOff>
    </xdr:from>
    <xdr:ext cx="1085215" cy="0"/>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67532567" y="36470018"/>
          <a:ext cx="1085215"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100" i="0">
              <a:latin typeface="Cambria Math"/>
            </a:rPr>
            <a:t>(𝑥+𝑎)^𝑛=∑_(𝑘=0)^𝑛▒〖(𝑛¦𝑘) 𝑥^𝑘 𝑎^(𝑛−𝑘) 〗</a:t>
          </a:r>
          <a:endParaRPr lang="en-US" sz="1100"/>
        </a:p>
      </xdr:txBody>
    </xdr:sp>
    <xdr:clientData/>
  </xdr:oneCellAnchor>
  <xdr:oneCellAnchor>
    <xdr:from>
      <xdr:col>34</xdr:col>
      <xdr:colOff>19368</xdr:colOff>
      <xdr:row>5</xdr:row>
      <xdr:rowOff>28575</xdr:rowOff>
    </xdr:from>
    <xdr:ext cx="1190307" cy="593368"/>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69180393" y="35794950"/>
          <a:ext cx="1190307" cy="5933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i="0">
              <a:latin typeface="Cambria Math"/>
            </a:rPr>
            <a:t>∑</a:t>
          </a:r>
          <a:r>
            <a:rPr lang="en-US" sz="1100" b="0" i="0">
              <a:latin typeface="Cambria Math"/>
            </a:rPr>
            <a:t>_(𝑗=1)^(𝑖−1)▒〖𝑟𝑗−∑_(𝑗=𝑖+1)^𝑛▒𝑟𝑗〗</a:t>
          </a:r>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8</xdr:col>
      <xdr:colOff>236220</xdr:colOff>
      <xdr:row>0</xdr:row>
      <xdr:rowOff>38100</xdr:rowOff>
    </xdr:from>
    <xdr:to>
      <xdr:col>9</xdr:col>
      <xdr:colOff>297180</xdr:colOff>
      <xdr:row>1</xdr:row>
      <xdr:rowOff>30480</xdr:rowOff>
    </xdr:to>
    <xdr:pic>
      <xdr:nvPicPr>
        <xdr:cNvPr id="3" name="Picture 2" descr="M&amp;R logo redo.BMP">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0" y="38100"/>
          <a:ext cx="76962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absoluteAnchor>
    <xdr:pos x="0" y="0"/>
    <xdr:ext cx="9489722" cy="6286500"/>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0.08385</cdr:x>
      <cdr:y>0.86004</cdr:y>
    </cdr:from>
    <cdr:to>
      <cdr:x>0.93378</cdr:x>
      <cdr:y>0.89704</cdr:y>
    </cdr:to>
    <cdr:sp macro="" textlink="">
      <cdr:nvSpPr>
        <cdr:cNvPr id="53250" name="TextBox 2"/>
        <cdr:cNvSpPr txBox="1">
          <a:spLocks xmlns:a="http://schemas.openxmlformats.org/drawingml/2006/main" noChangeArrowheads="1"/>
        </cdr:cNvSpPr>
      </cdr:nvSpPr>
      <cdr:spPr bwMode="auto">
        <a:xfrm xmlns:a="http://schemas.openxmlformats.org/drawingml/2006/main">
          <a:off x="700320" y="5037680"/>
          <a:ext cx="7311285" cy="211657"/>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91440" tIns="45720" rIns="91440" bIns="45720" anchor="t" upright="1"/>
        <a:lstStyle xmlns:a="http://schemas.openxmlformats.org/drawingml/2006/main"/>
        <a:p xmlns:a="http://schemas.openxmlformats.org/drawingml/2006/main">
          <a:pPr algn="l" rtl="0">
            <a:defRPr sz="1000"/>
          </a:pPr>
          <a:r>
            <a:rPr lang="en-US" sz="800" b="1" i="0" strike="noStrike">
              <a:solidFill>
                <a:srgbClr val="000000"/>
              </a:solidFill>
              <a:latin typeface="Calibri"/>
            </a:rPr>
            <a:t>               </a:t>
          </a:r>
          <a:r>
            <a:rPr lang="en-US" sz="800" b="1" i="0" strike="noStrike">
              <a:solidFill>
                <a:schemeClr val="accent6">
                  <a:lumMod val="75000"/>
                </a:schemeClr>
              </a:solidFill>
              <a:latin typeface="Calibri"/>
            </a:rPr>
            <a:t>#</a:t>
          </a:r>
          <a:r>
            <a:rPr lang="en-US" sz="1000" b="1" i="0" strike="noStrike">
              <a:solidFill>
                <a:schemeClr val="accent6">
                  <a:lumMod val="75000"/>
                </a:schemeClr>
              </a:solidFill>
              <a:latin typeface="Calibri"/>
            </a:rPr>
            <a:t>200 #50 #30       </a:t>
          </a:r>
          <a:r>
            <a:rPr lang="en-US" sz="1000" b="0" i="0" strike="noStrike">
              <a:solidFill>
                <a:srgbClr val="000000"/>
              </a:solidFill>
              <a:latin typeface="Calibri"/>
            </a:rPr>
            <a:t>#16       </a:t>
          </a:r>
          <a:r>
            <a:rPr lang="en-US" sz="1000" b="1" i="0" strike="noStrike">
              <a:solidFill>
                <a:schemeClr val="accent6">
                  <a:lumMod val="75000"/>
                </a:schemeClr>
              </a:solidFill>
              <a:latin typeface="Calibri"/>
            </a:rPr>
            <a:t>#10    </a:t>
          </a:r>
          <a:r>
            <a:rPr lang="en-US" sz="1000" b="0" i="0" strike="noStrike">
              <a:solidFill>
                <a:srgbClr val="000000"/>
              </a:solidFill>
              <a:latin typeface="Calibri"/>
            </a:rPr>
            <a:t>#8       </a:t>
          </a:r>
          <a:r>
            <a:rPr lang="en-US" sz="1000" b="1" i="0" strike="noStrike">
              <a:solidFill>
                <a:schemeClr val="accent6">
                  <a:lumMod val="75000"/>
                </a:schemeClr>
              </a:solidFill>
              <a:latin typeface="Calibri"/>
            </a:rPr>
            <a:t>#4</a:t>
          </a:r>
          <a:r>
            <a:rPr lang="en-US" sz="1000" b="1" i="0" strike="noStrike">
              <a:solidFill>
                <a:srgbClr val="000000"/>
              </a:solidFill>
              <a:latin typeface="Calibri"/>
            </a:rPr>
            <a:t>                                    </a:t>
          </a:r>
          <a:r>
            <a:rPr lang="en-US" sz="1000" b="0" i="0">
              <a:effectLst/>
              <a:latin typeface="+mn-lt"/>
              <a:ea typeface="+mn-ea"/>
              <a:cs typeface="+mn-cs"/>
            </a:rPr>
            <a:t>3/8"       1/2"      </a:t>
          </a:r>
          <a:r>
            <a:rPr lang="en-US" sz="1000" b="0" i="0" baseline="0">
              <a:effectLst/>
              <a:latin typeface="+mn-lt"/>
              <a:ea typeface="+mn-ea"/>
              <a:cs typeface="+mn-cs"/>
            </a:rPr>
            <a:t>    </a:t>
          </a:r>
          <a:r>
            <a:rPr lang="en-US" sz="1000" b="1" i="0" strike="noStrike">
              <a:solidFill>
                <a:schemeClr val="accent6">
                  <a:lumMod val="75000"/>
                </a:schemeClr>
              </a:solidFill>
              <a:latin typeface="Calibri"/>
            </a:rPr>
            <a:t>3/4"             1"</a:t>
          </a:r>
          <a:r>
            <a:rPr lang="en-US" sz="1000" b="1" i="0" strike="noStrike">
              <a:solidFill>
                <a:srgbClr val="000000"/>
              </a:solidFill>
              <a:latin typeface="Calibri"/>
            </a:rPr>
            <a:t>                                          </a:t>
          </a:r>
          <a:r>
            <a:rPr lang="en-US" sz="1000" b="1" i="0" strike="noStrike" baseline="0">
              <a:solidFill>
                <a:srgbClr val="000000"/>
              </a:solidFill>
              <a:latin typeface="Calibri"/>
            </a:rPr>
            <a:t> </a:t>
          </a:r>
          <a:r>
            <a:rPr lang="en-US" sz="1000" b="0" i="0" strike="noStrike" baseline="0">
              <a:solidFill>
                <a:srgbClr val="000000"/>
              </a:solidFill>
              <a:latin typeface="Calibri"/>
            </a:rPr>
            <a:t>1 1/4                         </a:t>
          </a:r>
          <a:r>
            <a:rPr lang="en-US" sz="1000" b="0" i="0" strike="noStrike">
              <a:solidFill>
                <a:srgbClr val="000000"/>
              </a:solidFill>
              <a:latin typeface="Calibri"/>
            </a:rPr>
            <a:t>  1 1/2"</a:t>
          </a:r>
        </a:p>
      </cdr:txBody>
    </cdr:sp>
  </cdr:relSizeAnchor>
  <cdr:relSizeAnchor xmlns:cdr="http://schemas.openxmlformats.org/drawingml/2006/chartDrawing">
    <cdr:from>
      <cdr:x>0.17263</cdr:x>
      <cdr:y>0.07921</cdr:y>
    </cdr:from>
    <cdr:to>
      <cdr:x>0.84506</cdr:x>
      <cdr:y>0.13887</cdr:y>
    </cdr:to>
    <cdr:sp macro="" textlink="">
      <cdr:nvSpPr>
        <cdr:cNvPr id="5" name="Rectangle 4"/>
        <cdr:cNvSpPr/>
      </cdr:nvSpPr>
      <cdr:spPr>
        <a:xfrm xmlns:a="http://schemas.openxmlformats.org/drawingml/2006/main">
          <a:off x="1633801" y="496747"/>
          <a:ext cx="6363858" cy="374141"/>
        </a:xfrm>
        <a:prstGeom xmlns:a="http://schemas.openxmlformats.org/drawingml/2006/main" prst="rect">
          <a:avLst/>
        </a:prstGeom>
        <a:noFill xmlns:a="http://schemas.openxmlformats.org/drawingml/2006/main"/>
        <a:effectLst xmlns:a="http://schemas.openxmlformats.org/drawingml/2006/main">
          <a:innerShdw blurRad="63500" dist="50800" dir="13500000">
            <a:prstClr val="black">
              <a:alpha val="50000"/>
            </a:prstClr>
          </a:innerShdw>
        </a:effectLst>
      </cdr:spPr>
      <cdr:txBody>
        <a:bodyPr xmlns:a="http://schemas.openxmlformats.org/drawingml/2006/main" wrap="none" lIns="91440" tIns="45720" rIns="91440" bIns="45720">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8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Class R - Combined Aggregate Gradation Limits (Percent Passing)</a:t>
          </a:r>
        </a:p>
      </cdr:txBody>
    </cdr:sp>
  </cdr:relSizeAnchor>
  <cdr:relSizeAnchor xmlns:cdr="http://schemas.openxmlformats.org/drawingml/2006/chartDrawing">
    <cdr:from>
      <cdr:x>0.09279</cdr:x>
      <cdr:y>0.14551</cdr:y>
    </cdr:from>
    <cdr:to>
      <cdr:x>0.62426</cdr:x>
      <cdr:y>0.84997</cdr:y>
    </cdr:to>
    <cdr:sp macro="" textlink="">
      <cdr:nvSpPr>
        <cdr:cNvPr id="10" name="Straight Connector 9"/>
        <cdr:cNvSpPr/>
      </cdr:nvSpPr>
      <cdr:spPr bwMode="auto">
        <a:xfrm xmlns:a="http://schemas.openxmlformats.org/drawingml/2006/main" flipV="1">
          <a:off x="762000" y="804356"/>
          <a:ext cx="4582542" cy="4180393"/>
        </a:xfrm>
        <a:prstGeom xmlns:a="http://schemas.openxmlformats.org/drawingml/2006/main" prst="line">
          <a:avLst/>
        </a:prstGeom>
        <a:solidFill xmlns:a="http://schemas.openxmlformats.org/drawingml/2006/main">
          <a:srgbClr val="FFFFFF"/>
        </a:solidFill>
        <a:ln xmlns:a="http://schemas.openxmlformats.org/drawingml/2006/main" w="158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US"/>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142876</xdr:colOff>
      <xdr:row>22</xdr:row>
      <xdr:rowOff>174624</xdr:rowOff>
    </xdr:from>
    <xdr:to>
      <xdr:col>7</xdr:col>
      <xdr:colOff>7938</xdr:colOff>
      <xdr:row>42</xdr:row>
      <xdr:rowOff>87313</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23</xdr:row>
      <xdr:rowOff>1</xdr:rowOff>
    </xdr:from>
    <xdr:to>
      <xdr:col>19</xdr:col>
      <xdr:colOff>39687</xdr:colOff>
      <xdr:row>43</xdr:row>
      <xdr:rowOff>1</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0.8</cdr:x>
      <cdr:y>0.18576</cdr:y>
    </cdr:from>
    <cdr:to>
      <cdr:x>1</cdr:x>
      <cdr:y>0.5191</cdr:y>
    </cdr:to>
    <cdr:sp macro="" textlink="">
      <cdr:nvSpPr>
        <cdr:cNvPr id="6" name="TextBox 5"/>
        <cdr:cNvSpPr txBox="1"/>
      </cdr:nvSpPr>
      <cdr:spPr>
        <a:xfrm xmlns:a="http://schemas.openxmlformats.org/drawingml/2006/main">
          <a:off x="3943350" y="5095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0.43602</cdr:x>
      <cdr:y>0.93203</cdr:y>
    </cdr:from>
    <cdr:to>
      <cdr:x>0.58926</cdr:x>
      <cdr:y>1</cdr:y>
    </cdr:to>
    <cdr:sp macro="" textlink="">
      <cdr:nvSpPr>
        <cdr:cNvPr id="57" name="TextBox 56"/>
        <cdr:cNvSpPr txBox="1"/>
      </cdr:nvSpPr>
      <cdr:spPr>
        <a:xfrm xmlns:a="http://schemas.openxmlformats.org/drawingml/2006/main">
          <a:off x="2873919" y="4324370"/>
          <a:ext cx="1010051" cy="31536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400" b="1"/>
            <a:t>Sieve</a:t>
          </a:r>
          <a:r>
            <a:rPr lang="en-US" sz="1400" b="1" baseline="0"/>
            <a:t> No.</a:t>
          </a:r>
          <a:endParaRPr lang="en-US" sz="1400" b="1"/>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398349</xdr:colOff>
      <xdr:row>0</xdr:row>
      <xdr:rowOff>0</xdr:rowOff>
    </xdr:from>
    <xdr:to>
      <xdr:col>16</xdr:col>
      <xdr:colOff>255814</xdr:colOff>
      <xdr:row>20</xdr:row>
      <xdr:rowOff>217714</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PCC\PCCP%20Specifications%20&amp;%20Special%20Provisions\TAPES\2018-New%20Special%20Provision\MIXDESIGNSUBMITTALWORKSHEET%20Unprotect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yler's%20stuff\consulting\Sundt%20consulting\final%20trial%20batches\Mixdesignwsummary%20first%20trial%20new%20grad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ures"/>
      <sheetName val="Mix Description"/>
      <sheetName val="Contractor Mix Design"/>
      <sheetName val="Mix Design Test Results"/>
      <sheetName val="Contractor TAG"/>
      <sheetName val="Data"/>
      <sheetName val="Chart-Gradation Band"/>
    </sheetNames>
    <sheetDataSet>
      <sheetData sheetId="0"/>
      <sheetData sheetId="1"/>
      <sheetData sheetId="2"/>
      <sheetData sheetId="3"/>
      <sheetData sheetId="4">
        <row r="36">
          <cell r="E36">
            <v>0</v>
          </cell>
        </row>
      </sheetData>
      <sheetData sheetId="5">
        <row r="23">
          <cell r="K23">
            <v>7.1999999999999995E-2</v>
          </cell>
          <cell r="L23">
            <v>0.13500000000000001</v>
          </cell>
          <cell r="M23">
            <v>0.185</v>
          </cell>
          <cell r="N23">
            <v>0.34499999999999997</v>
          </cell>
          <cell r="O23">
            <v>0.47</v>
          </cell>
          <cell r="P23">
            <v>0.879</v>
          </cell>
          <cell r="Q23">
            <v>1</v>
          </cell>
          <cell r="R23">
            <v>1.5</v>
          </cell>
        </row>
        <row r="29">
          <cell r="J29" t="str">
            <v>Maximum Limits for Class R Aggregate Percent Passing</v>
          </cell>
          <cell r="K29">
            <v>3</v>
          </cell>
          <cell r="L29">
            <v>12</v>
          </cell>
          <cell r="M29">
            <v>30</v>
          </cell>
          <cell r="N29">
            <v>50</v>
          </cell>
          <cell r="O29">
            <v>70</v>
          </cell>
          <cell r="P29">
            <v>98</v>
          </cell>
          <cell r="Q29">
            <v>100</v>
          </cell>
          <cell r="R29">
            <v>100</v>
          </cell>
        </row>
        <row r="30">
          <cell r="J30" t="str">
            <v>Minimum Limits for Class R Aggregate Percent Passing</v>
          </cell>
          <cell r="K30">
            <v>0</v>
          </cell>
          <cell r="L30">
            <v>2</v>
          </cell>
          <cell r="M30">
            <v>2</v>
          </cell>
          <cell r="N30">
            <v>2</v>
          </cell>
          <cell r="O30">
            <v>6</v>
          </cell>
          <cell r="P30">
            <v>64</v>
          </cell>
          <cell r="Q30">
            <v>84</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eve Analysis"/>
      <sheetName val="Mix Design"/>
      <sheetName val="Power45"/>
      <sheetName val="Coarseness Chart"/>
      <sheetName val="Other IPR Charts"/>
      <sheetName val="Summary Report"/>
      <sheetName val="Calculations"/>
    </sheetNames>
    <sheetDataSet>
      <sheetData sheetId="0"/>
      <sheetData sheetId="1">
        <row r="46">
          <cell r="B46" t="str">
            <v>1.5"</v>
          </cell>
        </row>
        <row r="47">
          <cell r="B47" t="str">
            <v>1"</v>
          </cell>
        </row>
        <row r="48">
          <cell r="B48" t="str">
            <v>3/4"</v>
          </cell>
        </row>
        <row r="49">
          <cell r="B49" t="str">
            <v>1/2"</v>
          </cell>
        </row>
        <row r="50">
          <cell r="B50" t="str">
            <v>3/8"</v>
          </cell>
        </row>
        <row r="51">
          <cell r="B51" t="str">
            <v>#4</v>
          </cell>
        </row>
        <row r="52">
          <cell r="B52" t="str">
            <v>#8</v>
          </cell>
        </row>
        <row r="53">
          <cell r="B53" t="str">
            <v>#16</v>
          </cell>
        </row>
        <row r="54">
          <cell r="B54" t="str">
            <v>#30</v>
          </cell>
        </row>
        <row r="55">
          <cell r="B55" t="str">
            <v>#50</v>
          </cell>
        </row>
        <row r="56">
          <cell r="B56" t="str">
            <v>#100</v>
          </cell>
        </row>
        <row r="57">
          <cell r="B57" t="str">
            <v>#200</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2"/>
  <sheetViews>
    <sheetView showGridLines="0" showRowColHeaders="0" zoomScale="110" zoomScaleNormal="110" workbookViewId="0">
      <selection activeCell="B29" sqref="B29:O29"/>
    </sheetView>
  </sheetViews>
  <sheetFormatPr defaultRowHeight="12.5"/>
  <cols>
    <col min="1" max="3" width="8.81640625" style="446"/>
    <col min="4" max="4" width="9.7265625" style="446" customWidth="1"/>
    <col min="5" max="259" width="8.81640625" style="446"/>
    <col min="260" max="260" width="9.7265625" style="446" customWidth="1"/>
    <col min="261" max="515" width="8.81640625" style="446"/>
    <col min="516" max="516" width="9.7265625" style="446" customWidth="1"/>
    <col min="517" max="771" width="8.81640625" style="446"/>
    <col min="772" max="772" width="9.7265625" style="446" customWidth="1"/>
    <col min="773" max="1027" width="8.81640625" style="446"/>
    <col min="1028" max="1028" width="9.7265625" style="446" customWidth="1"/>
    <col min="1029" max="1283" width="8.81640625" style="446"/>
    <col min="1284" max="1284" width="9.7265625" style="446" customWidth="1"/>
    <col min="1285" max="1539" width="8.81640625" style="446"/>
    <col min="1540" max="1540" width="9.7265625" style="446" customWidth="1"/>
    <col min="1541" max="1795" width="8.81640625" style="446"/>
    <col min="1796" max="1796" width="9.7265625" style="446" customWidth="1"/>
    <col min="1797" max="2051" width="8.81640625" style="446"/>
    <col min="2052" max="2052" width="9.7265625" style="446" customWidth="1"/>
    <col min="2053" max="2307" width="8.81640625" style="446"/>
    <col min="2308" max="2308" width="9.7265625" style="446" customWidth="1"/>
    <col min="2309" max="2563" width="8.81640625" style="446"/>
    <col min="2564" max="2564" width="9.7265625" style="446" customWidth="1"/>
    <col min="2565" max="2819" width="8.81640625" style="446"/>
    <col min="2820" max="2820" width="9.7265625" style="446" customWidth="1"/>
    <col min="2821" max="3075" width="8.81640625" style="446"/>
    <col min="3076" max="3076" width="9.7265625" style="446" customWidth="1"/>
    <col min="3077" max="3331" width="8.81640625" style="446"/>
    <col min="3332" max="3332" width="9.7265625" style="446" customWidth="1"/>
    <col min="3333" max="3587" width="8.81640625" style="446"/>
    <col min="3588" max="3588" width="9.7265625" style="446" customWidth="1"/>
    <col min="3589" max="3843" width="8.81640625" style="446"/>
    <col min="3844" max="3844" width="9.7265625" style="446" customWidth="1"/>
    <col min="3845" max="4099" width="8.81640625" style="446"/>
    <col min="4100" max="4100" width="9.7265625" style="446" customWidth="1"/>
    <col min="4101" max="4355" width="8.81640625" style="446"/>
    <col min="4356" max="4356" width="9.7265625" style="446" customWidth="1"/>
    <col min="4357" max="4611" width="8.81640625" style="446"/>
    <col min="4612" max="4612" width="9.7265625" style="446" customWidth="1"/>
    <col min="4613" max="4867" width="8.81640625" style="446"/>
    <col min="4868" max="4868" width="9.7265625" style="446" customWidth="1"/>
    <col min="4869" max="5123" width="8.81640625" style="446"/>
    <col min="5124" max="5124" width="9.7265625" style="446" customWidth="1"/>
    <col min="5125" max="5379" width="8.81640625" style="446"/>
    <col min="5380" max="5380" width="9.7265625" style="446" customWidth="1"/>
    <col min="5381" max="5635" width="8.81640625" style="446"/>
    <col min="5636" max="5636" width="9.7265625" style="446" customWidth="1"/>
    <col min="5637" max="5891" width="8.81640625" style="446"/>
    <col min="5892" max="5892" width="9.7265625" style="446" customWidth="1"/>
    <col min="5893" max="6147" width="8.81640625" style="446"/>
    <col min="6148" max="6148" width="9.7265625" style="446" customWidth="1"/>
    <col min="6149" max="6403" width="8.81640625" style="446"/>
    <col min="6404" max="6404" width="9.7265625" style="446" customWidth="1"/>
    <col min="6405" max="6659" width="8.81640625" style="446"/>
    <col min="6660" max="6660" width="9.7265625" style="446" customWidth="1"/>
    <col min="6661" max="6915" width="8.81640625" style="446"/>
    <col min="6916" max="6916" width="9.7265625" style="446" customWidth="1"/>
    <col min="6917" max="7171" width="8.81640625" style="446"/>
    <col min="7172" max="7172" width="9.7265625" style="446" customWidth="1"/>
    <col min="7173" max="7427" width="8.81640625" style="446"/>
    <col min="7428" max="7428" width="9.7265625" style="446" customWidth="1"/>
    <col min="7429" max="7683" width="8.81640625" style="446"/>
    <col min="7684" max="7684" width="9.7265625" style="446" customWidth="1"/>
    <col min="7685" max="7939" width="8.81640625" style="446"/>
    <col min="7940" max="7940" width="9.7265625" style="446" customWidth="1"/>
    <col min="7941" max="8195" width="8.81640625" style="446"/>
    <col min="8196" max="8196" width="9.7265625" style="446" customWidth="1"/>
    <col min="8197" max="8451" width="8.81640625" style="446"/>
    <col min="8452" max="8452" width="9.7265625" style="446" customWidth="1"/>
    <col min="8453" max="8707" width="8.81640625" style="446"/>
    <col min="8708" max="8708" width="9.7265625" style="446" customWidth="1"/>
    <col min="8709" max="8963" width="8.81640625" style="446"/>
    <col min="8964" max="8964" width="9.7265625" style="446" customWidth="1"/>
    <col min="8965" max="9219" width="8.81640625" style="446"/>
    <col min="9220" max="9220" width="9.7265625" style="446" customWidth="1"/>
    <col min="9221" max="9475" width="8.81640625" style="446"/>
    <col min="9476" max="9476" width="9.7265625" style="446" customWidth="1"/>
    <col min="9477" max="9731" width="8.81640625" style="446"/>
    <col min="9732" max="9732" width="9.7265625" style="446" customWidth="1"/>
    <col min="9733" max="9987" width="8.81640625" style="446"/>
    <col min="9988" max="9988" width="9.7265625" style="446" customWidth="1"/>
    <col min="9989" max="10243" width="8.81640625" style="446"/>
    <col min="10244" max="10244" width="9.7265625" style="446" customWidth="1"/>
    <col min="10245" max="10499" width="8.81640625" style="446"/>
    <col min="10500" max="10500" width="9.7265625" style="446" customWidth="1"/>
    <col min="10501" max="10755" width="8.81640625" style="446"/>
    <col min="10756" max="10756" width="9.7265625" style="446" customWidth="1"/>
    <col min="10757" max="11011" width="8.81640625" style="446"/>
    <col min="11012" max="11012" width="9.7265625" style="446" customWidth="1"/>
    <col min="11013" max="11267" width="8.81640625" style="446"/>
    <col min="11268" max="11268" width="9.7265625" style="446" customWidth="1"/>
    <col min="11269" max="11523" width="8.81640625" style="446"/>
    <col min="11524" max="11524" width="9.7265625" style="446" customWidth="1"/>
    <col min="11525" max="11779" width="8.81640625" style="446"/>
    <col min="11780" max="11780" width="9.7265625" style="446" customWidth="1"/>
    <col min="11781" max="12035" width="8.81640625" style="446"/>
    <col min="12036" max="12036" width="9.7265625" style="446" customWidth="1"/>
    <col min="12037" max="12291" width="8.81640625" style="446"/>
    <col min="12292" max="12292" width="9.7265625" style="446" customWidth="1"/>
    <col min="12293" max="12547" width="8.81640625" style="446"/>
    <col min="12548" max="12548" width="9.7265625" style="446" customWidth="1"/>
    <col min="12549" max="12803" width="8.81640625" style="446"/>
    <col min="12804" max="12804" width="9.7265625" style="446" customWidth="1"/>
    <col min="12805" max="13059" width="8.81640625" style="446"/>
    <col min="13060" max="13060" width="9.7265625" style="446" customWidth="1"/>
    <col min="13061" max="13315" width="8.81640625" style="446"/>
    <col min="13316" max="13316" width="9.7265625" style="446" customWidth="1"/>
    <col min="13317" max="13571" width="8.81640625" style="446"/>
    <col min="13572" max="13572" width="9.7265625" style="446" customWidth="1"/>
    <col min="13573" max="13827" width="8.81640625" style="446"/>
    <col min="13828" max="13828" width="9.7265625" style="446" customWidth="1"/>
    <col min="13829" max="14083" width="8.81640625" style="446"/>
    <col min="14084" max="14084" width="9.7265625" style="446" customWidth="1"/>
    <col min="14085" max="14339" width="8.81640625" style="446"/>
    <col min="14340" max="14340" width="9.7265625" style="446" customWidth="1"/>
    <col min="14341" max="14595" width="8.81640625" style="446"/>
    <col min="14596" max="14596" width="9.7265625" style="446" customWidth="1"/>
    <col min="14597" max="14851" width="8.81640625" style="446"/>
    <col min="14852" max="14852" width="9.7265625" style="446" customWidth="1"/>
    <col min="14853" max="15107" width="8.81640625" style="446"/>
    <col min="15108" max="15108" width="9.7265625" style="446" customWidth="1"/>
    <col min="15109" max="15363" width="8.81640625" style="446"/>
    <col min="15364" max="15364" width="9.7265625" style="446" customWidth="1"/>
    <col min="15365" max="15619" width="8.81640625" style="446"/>
    <col min="15620" max="15620" width="9.7265625" style="446" customWidth="1"/>
    <col min="15621" max="15875" width="8.81640625" style="446"/>
    <col min="15876" max="15876" width="9.7265625" style="446" customWidth="1"/>
    <col min="15877" max="16131" width="8.81640625" style="446"/>
    <col min="16132" max="16132" width="9.7265625" style="446" customWidth="1"/>
    <col min="16133" max="16384" width="8.81640625" style="446"/>
  </cols>
  <sheetData>
    <row r="1" spans="1:15" ht="14">
      <c r="A1" s="642" t="s">
        <v>385</v>
      </c>
      <c r="B1" s="642"/>
      <c r="C1" s="642"/>
      <c r="D1" s="642"/>
      <c r="E1" s="642"/>
      <c r="F1" s="642"/>
      <c r="G1" s="642"/>
      <c r="H1" s="642"/>
      <c r="I1" s="642"/>
      <c r="J1" s="642"/>
      <c r="K1" s="642"/>
      <c r="L1" s="642"/>
      <c r="M1" s="642"/>
      <c r="N1" s="642"/>
      <c r="O1" s="642"/>
    </row>
    <row r="2" spans="1:15" ht="14">
      <c r="A2" s="642" t="s">
        <v>257</v>
      </c>
      <c r="B2" s="642"/>
      <c r="C2" s="642"/>
      <c r="D2" s="642"/>
      <c r="E2" s="642"/>
      <c r="F2" s="642"/>
      <c r="G2" s="642"/>
      <c r="H2" s="642"/>
      <c r="I2" s="642"/>
      <c r="J2" s="642"/>
      <c r="K2" s="642"/>
      <c r="L2" s="642"/>
      <c r="M2" s="642"/>
      <c r="N2" s="642"/>
      <c r="O2" s="642"/>
    </row>
    <row r="3" spans="1:15" ht="14">
      <c r="A3" s="642" t="s">
        <v>258</v>
      </c>
      <c r="B3" s="642"/>
      <c r="C3" s="642"/>
      <c r="D3" s="642"/>
      <c r="E3" s="642"/>
      <c r="F3" s="642"/>
      <c r="G3" s="642"/>
      <c r="H3" s="642"/>
      <c r="I3" s="642"/>
      <c r="J3" s="642"/>
      <c r="K3" s="642"/>
      <c r="L3" s="642"/>
      <c r="M3" s="642"/>
      <c r="N3" s="642"/>
      <c r="O3" s="642"/>
    </row>
    <row r="4" spans="1:15" ht="14">
      <c r="A4" s="448"/>
      <c r="B4" s="448"/>
      <c r="C4" s="448"/>
      <c r="D4" s="448"/>
      <c r="E4" s="448"/>
      <c r="F4" s="448"/>
      <c r="G4" s="448"/>
      <c r="H4" s="448"/>
      <c r="I4" s="448"/>
      <c r="J4" s="448"/>
      <c r="K4" s="448"/>
      <c r="L4" s="448"/>
      <c r="M4" s="448"/>
      <c r="N4" s="448"/>
      <c r="O4" s="448"/>
    </row>
    <row r="6" spans="1:15" ht="18" customHeight="1">
      <c r="A6" s="449"/>
      <c r="B6" s="643" t="s">
        <v>259</v>
      </c>
      <c r="C6" s="643"/>
      <c r="D6" s="643"/>
      <c r="E6" s="643"/>
      <c r="F6" s="643"/>
      <c r="G6" s="643"/>
      <c r="H6" s="643"/>
      <c r="I6" s="643"/>
      <c r="J6" s="643"/>
      <c r="K6" s="643"/>
      <c r="L6" s="643"/>
      <c r="M6" s="643"/>
      <c r="N6" s="643"/>
      <c r="O6" s="643"/>
    </row>
    <row r="7" spans="1:15" ht="72" customHeight="1">
      <c r="A7" s="449"/>
      <c r="B7" s="638" t="s">
        <v>389</v>
      </c>
      <c r="C7" s="638"/>
      <c r="D7" s="638"/>
      <c r="E7" s="638"/>
      <c r="F7" s="638"/>
      <c r="G7" s="638"/>
      <c r="H7" s="638"/>
      <c r="I7" s="638"/>
      <c r="J7" s="638"/>
      <c r="K7" s="638"/>
      <c r="L7" s="638"/>
      <c r="M7" s="638"/>
      <c r="N7" s="638"/>
      <c r="O7" s="638"/>
    </row>
    <row r="8" spans="1:15" ht="33" customHeight="1">
      <c r="A8" s="449"/>
      <c r="B8" s="450"/>
      <c r="C8" s="450"/>
      <c r="D8" s="450"/>
      <c r="E8" s="450"/>
      <c r="F8" s="450"/>
      <c r="G8" s="450"/>
      <c r="H8" s="450"/>
      <c r="I8" s="450"/>
      <c r="J8" s="450"/>
      <c r="K8" s="450"/>
      <c r="L8" s="450"/>
      <c r="M8" s="450"/>
      <c r="N8" s="450"/>
      <c r="O8" s="450"/>
    </row>
    <row r="9" spans="1:15" ht="8.25" customHeight="1">
      <c r="A9" s="449"/>
      <c r="B9" s="451"/>
      <c r="C9" s="451"/>
      <c r="D9" s="451"/>
      <c r="E9" s="451"/>
      <c r="F9" s="451"/>
      <c r="G9" s="451"/>
      <c r="H9" s="451"/>
      <c r="I9" s="451"/>
      <c r="J9" s="451"/>
      <c r="K9" s="451"/>
      <c r="L9" s="451"/>
      <c r="M9" s="451"/>
      <c r="N9" s="451"/>
      <c r="O9" s="451"/>
    </row>
    <row r="10" spans="1:15" ht="18">
      <c r="A10" s="449"/>
      <c r="B10" s="452" t="s">
        <v>260</v>
      </c>
      <c r="C10" s="452"/>
      <c r="D10" s="452"/>
      <c r="E10" s="451"/>
      <c r="F10" s="451"/>
      <c r="G10" s="451"/>
      <c r="H10" s="451"/>
      <c r="I10" s="451"/>
      <c r="J10" s="451"/>
      <c r="K10" s="451"/>
      <c r="L10" s="451"/>
      <c r="M10" s="451"/>
      <c r="N10" s="451"/>
      <c r="O10" s="451"/>
    </row>
    <row r="11" spans="1:15" ht="9" customHeight="1">
      <c r="A11" s="449"/>
      <c r="B11" s="451"/>
      <c r="C11" s="451"/>
      <c r="D11" s="451"/>
      <c r="E11" s="451"/>
      <c r="F11" s="451"/>
      <c r="G11" s="451"/>
      <c r="H11" s="451"/>
      <c r="I11" s="451"/>
      <c r="J11" s="451"/>
      <c r="K11" s="451"/>
      <c r="L11" s="451"/>
      <c r="M11" s="451"/>
      <c r="N11" s="451"/>
      <c r="O11" s="451"/>
    </row>
    <row r="12" spans="1:15" ht="18">
      <c r="A12" s="449"/>
      <c r="B12" s="639" t="s">
        <v>261</v>
      </c>
      <c r="C12" s="639"/>
      <c r="D12" s="639"/>
      <c r="E12" s="640"/>
      <c r="F12" s="640"/>
      <c r="G12" s="640"/>
      <c r="H12" s="640"/>
      <c r="I12" s="640"/>
      <c r="J12" s="640"/>
      <c r="K12" s="640"/>
      <c r="L12" s="640"/>
      <c r="M12" s="640"/>
      <c r="N12" s="640"/>
      <c r="O12" s="640"/>
    </row>
    <row r="13" spans="1:15" ht="36" customHeight="1">
      <c r="A13" s="449"/>
      <c r="B13" s="638" t="s">
        <v>262</v>
      </c>
      <c r="C13" s="638"/>
      <c r="D13" s="638"/>
      <c r="E13" s="638"/>
      <c r="F13" s="638"/>
      <c r="G13" s="638"/>
      <c r="H13" s="638"/>
      <c r="I13" s="638"/>
      <c r="J13" s="638"/>
      <c r="K13" s="638"/>
      <c r="L13" s="638"/>
      <c r="M13" s="638"/>
      <c r="N13" s="638"/>
      <c r="O13" s="638"/>
    </row>
    <row r="14" spans="1:15" ht="17.5">
      <c r="A14" s="449"/>
      <c r="B14" s="451"/>
      <c r="C14" s="451"/>
      <c r="D14" s="451"/>
      <c r="E14" s="451"/>
      <c r="F14" s="451"/>
      <c r="G14" s="451"/>
      <c r="H14" s="451"/>
      <c r="I14" s="451"/>
      <c r="J14" s="451"/>
      <c r="K14" s="451"/>
      <c r="L14" s="451"/>
      <c r="M14" s="451"/>
      <c r="N14" s="451"/>
      <c r="O14" s="451"/>
    </row>
    <row r="15" spans="1:15" ht="18">
      <c r="A15" s="449"/>
      <c r="B15" s="639" t="s">
        <v>263</v>
      </c>
      <c r="C15" s="639"/>
      <c r="D15" s="639"/>
      <c r="E15" s="640"/>
      <c r="F15" s="640"/>
      <c r="G15" s="640"/>
      <c r="H15" s="640"/>
      <c r="I15" s="640"/>
      <c r="J15" s="640"/>
      <c r="K15" s="640"/>
      <c r="L15" s="640"/>
      <c r="M15" s="640"/>
      <c r="N15" s="640"/>
      <c r="O15" s="640"/>
    </row>
    <row r="16" spans="1:15" ht="54.75" customHeight="1">
      <c r="A16" s="449"/>
      <c r="B16" s="640" t="s">
        <v>264</v>
      </c>
      <c r="C16" s="640"/>
      <c r="D16" s="640"/>
      <c r="E16" s="640"/>
      <c r="F16" s="640"/>
      <c r="G16" s="640"/>
      <c r="H16" s="640"/>
      <c r="I16" s="640"/>
      <c r="J16" s="640"/>
      <c r="K16" s="640"/>
      <c r="L16" s="640"/>
      <c r="M16" s="640"/>
      <c r="N16" s="640"/>
      <c r="O16" s="640"/>
    </row>
    <row r="17" spans="1:15" ht="9" customHeight="1">
      <c r="A17" s="449"/>
      <c r="B17" s="453"/>
      <c r="C17" s="453"/>
      <c r="D17" s="453"/>
      <c r="E17" s="454"/>
      <c r="F17" s="454"/>
      <c r="G17" s="454"/>
      <c r="H17" s="454"/>
      <c r="I17" s="454"/>
      <c r="J17" s="454"/>
      <c r="K17" s="454"/>
      <c r="L17" s="454"/>
      <c r="M17" s="454"/>
      <c r="N17" s="454"/>
      <c r="O17" s="454"/>
    </row>
    <row r="18" spans="1:15" ht="18">
      <c r="A18" s="449"/>
      <c r="B18" s="639" t="s">
        <v>265</v>
      </c>
      <c r="C18" s="639"/>
      <c r="D18" s="639"/>
      <c r="E18" s="640"/>
      <c r="F18" s="640"/>
      <c r="G18" s="640"/>
      <c r="H18" s="640"/>
      <c r="I18" s="640"/>
      <c r="J18" s="640"/>
      <c r="K18" s="640"/>
      <c r="L18" s="640"/>
      <c r="M18" s="640"/>
      <c r="N18" s="640"/>
      <c r="O18" s="640"/>
    </row>
    <row r="19" spans="1:15" ht="17.5">
      <c r="A19" s="449"/>
      <c r="B19" s="638" t="s">
        <v>266</v>
      </c>
      <c r="C19" s="638"/>
      <c r="D19" s="638"/>
      <c r="E19" s="638"/>
      <c r="F19" s="638"/>
      <c r="G19" s="638"/>
      <c r="H19" s="638"/>
      <c r="I19" s="638"/>
      <c r="J19" s="638"/>
      <c r="K19" s="638"/>
      <c r="L19" s="638"/>
      <c r="M19" s="638"/>
      <c r="N19" s="638"/>
      <c r="O19" s="638"/>
    </row>
    <row r="20" spans="1:15" ht="10.5" customHeight="1">
      <c r="A20" s="449"/>
      <c r="B20" s="453"/>
      <c r="C20" s="453"/>
      <c r="D20" s="453"/>
      <c r="E20" s="454"/>
      <c r="F20" s="454"/>
      <c r="G20" s="454"/>
      <c r="H20" s="454"/>
      <c r="I20" s="454"/>
      <c r="J20" s="454"/>
      <c r="K20" s="454"/>
      <c r="L20" s="454"/>
      <c r="M20" s="454"/>
      <c r="N20" s="454"/>
      <c r="O20" s="454"/>
    </row>
    <row r="21" spans="1:15" ht="18">
      <c r="A21" s="449"/>
      <c r="B21" s="639" t="s">
        <v>267</v>
      </c>
      <c r="C21" s="639"/>
      <c r="D21" s="639"/>
      <c r="E21" s="640"/>
      <c r="F21" s="640"/>
      <c r="G21" s="640"/>
      <c r="H21" s="640"/>
      <c r="I21" s="640"/>
      <c r="J21" s="640"/>
      <c r="K21" s="640"/>
      <c r="L21" s="640"/>
      <c r="M21" s="640"/>
      <c r="N21" s="640"/>
      <c r="O21" s="640"/>
    </row>
    <row r="22" spans="1:15" ht="17.5">
      <c r="A22" s="449"/>
      <c r="B22" s="640" t="s">
        <v>268</v>
      </c>
      <c r="C22" s="640"/>
      <c r="D22" s="640"/>
      <c r="E22" s="640"/>
      <c r="F22" s="640"/>
      <c r="G22" s="640"/>
      <c r="H22" s="640"/>
      <c r="I22" s="640"/>
      <c r="J22" s="640"/>
      <c r="K22" s="640"/>
      <c r="L22" s="640"/>
      <c r="M22" s="640"/>
      <c r="N22" s="640"/>
      <c r="O22" s="640"/>
    </row>
    <row r="23" spans="1:15" ht="5.25" customHeight="1">
      <c r="A23" s="449"/>
      <c r="B23" s="451"/>
      <c r="C23" s="451"/>
      <c r="D23" s="451"/>
      <c r="E23" s="451"/>
      <c r="F23" s="451"/>
      <c r="G23" s="451"/>
      <c r="H23" s="451"/>
      <c r="I23" s="451"/>
      <c r="J23" s="451"/>
      <c r="K23" s="451"/>
      <c r="L23" s="451"/>
      <c r="M23" s="451"/>
      <c r="N23" s="451"/>
      <c r="O23" s="451"/>
    </row>
    <row r="24" spans="1:15" ht="40.5" customHeight="1">
      <c r="A24" s="449"/>
      <c r="B24" s="640" t="s">
        <v>269</v>
      </c>
      <c r="C24" s="640"/>
      <c r="D24" s="640"/>
      <c r="E24" s="640"/>
      <c r="F24" s="640"/>
      <c r="G24" s="640"/>
      <c r="H24" s="640"/>
      <c r="I24" s="640"/>
      <c r="J24" s="640"/>
      <c r="K24" s="640"/>
      <c r="L24" s="640"/>
      <c r="M24" s="640"/>
      <c r="N24" s="640"/>
      <c r="O24" s="640"/>
    </row>
    <row r="25" spans="1:15" ht="3.75" customHeight="1">
      <c r="A25" s="449"/>
      <c r="B25" s="451"/>
      <c r="C25" s="451"/>
      <c r="D25" s="451"/>
      <c r="E25" s="451"/>
      <c r="F25" s="451"/>
      <c r="G25" s="451"/>
      <c r="H25" s="451"/>
      <c r="I25" s="451"/>
      <c r="J25" s="451"/>
      <c r="K25" s="451"/>
      <c r="L25" s="451"/>
      <c r="M25" s="451"/>
      <c r="N25" s="451"/>
      <c r="O25" s="451"/>
    </row>
    <row r="26" spans="1:15" ht="38.25" customHeight="1">
      <c r="A26" s="449"/>
      <c r="B26" s="640" t="s">
        <v>270</v>
      </c>
      <c r="C26" s="640"/>
      <c r="D26" s="640"/>
      <c r="E26" s="640"/>
      <c r="F26" s="640"/>
      <c r="G26" s="640"/>
      <c r="H26" s="640"/>
      <c r="I26" s="640"/>
      <c r="J26" s="640"/>
      <c r="K26" s="640"/>
      <c r="L26" s="640"/>
      <c r="M26" s="640"/>
      <c r="N26" s="640"/>
      <c r="O26" s="640"/>
    </row>
    <row r="27" spans="1:15" ht="10.5" customHeight="1">
      <c r="A27" s="449"/>
      <c r="B27" s="451"/>
      <c r="C27" s="451"/>
      <c r="D27" s="451"/>
      <c r="E27" s="451"/>
      <c r="F27" s="451"/>
      <c r="G27" s="451"/>
      <c r="H27" s="451"/>
      <c r="I27" s="451"/>
      <c r="J27" s="451"/>
      <c r="K27" s="451"/>
      <c r="L27" s="451"/>
      <c r="M27" s="451"/>
      <c r="N27" s="451"/>
      <c r="O27" s="451"/>
    </row>
    <row r="28" spans="1:15" ht="18">
      <c r="A28" s="449"/>
      <c r="B28" s="639" t="s">
        <v>271</v>
      </c>
      <c r="C28" s="639"/>
      <c r="D28" s="639"/>
      <c r="E28" s="641"/>
      <c r="F28" s="641"/>
      <c r="G28" s="641"/>
      <c r="H28" s="641"/>
      <c r="I28" s="641"/>
      <c r="J28" s="641"/>
      <c r="K28" s="641"/>
      <c r="L28" s="641"/>
      <c r="M28" s="641"/>
      <c r="N28" s="641"/>
      <c r="O28" s="451"/>
    </row>
    <row r="29" spans="1:15" ht="95.25" customHeight="1">
      <c r="A29" s="449"/>
      <c r="B29" s="640" t="s">
        <v>272</v>
      </c>
      <c r="C29" s="640"/>
      <c r="D29" s="640"/>
      <c r="E29" s="640"/>
      <c r="F29" s="640"/>
      <c r="G29" s="640"/>
      <c r="H29" s="640"/>
      <c r="I29" s="640"/>
      <c r="J29" s="640"/>
      <c r="K29" s="640"/>
      <c r="L29" s="640"/>
      <c r="M29" s="640"/>
      <c r="N29" s="640"/>
      <c r="O29" s="640"/>
    </row>
    <row r="30" spans="1:15" ht="14">
      <c r="B30" s="455"/>
      <c r="C30" s="455"/>
      <c r="D30" s="455"/>
      <c r="E30" s="455"/>
      <c r="F30" s="455"/>
      <c r="G30" s="455"/>
      <c r="H30" s="455"/>
      <c r="I30" s="455"/>
      <c r="J30" s="455"/>
      <c r="K30" s="455"/>
      <c r="L30" s="455"/>
      <c r="M30" s="455"/>
      <c r="N30" s="455"/>
      <c r="O30" s="455"/>
    </row>
    <row r="31" spans="1:15" ht="14">
      <c r="B31" s="455"/>
      <c r="C31" s="455"/>
      <c r="D31" s="455"/>
      <c r="E31" s="455"/>
      <c r="F31" s="455"/>
      <c r="G31" s="455"/>
      <c r="H31" s="455"/>
      <c r="I31" s="455"/>
      <c r="J31" s="455"/>
      <c r="K31" s="455"/>
      <c r="L31" s="455"/>
      <c r="M31" s="455"/>
      <c r="N31" s="455"/>
      <c r="O31" s="455"/>
    </row>
    <row r="32" spans="1:15" ht="14">
      <c r="B32" s="637"/>
      <c r="C32" s="637"/>
      <c r="D32" s="637"/>
      <c r="E32" s="637"/>
      <c r="F32" s="637"/>
      <c r="G32" s="637"/>
      <c r="H32" s="637"/>
      <c r="I32" s="637"/>
      <c r="J32" s="637"/>
      <c r="K32" s="637"/>
      <c r="L32" s="637"/>
      <c r="M32" s="637"/>
      <c r="N32" s="637"/>
      <c r="O32" s="637"/>
    </row>
  </sheetData>
  <mergeCells count="18">
    <mergeCell ref="B12:O12"/>
    <mergeCell ref="A1:O1"/>
    <mergeCell ref="A2:O2"/>
    <mergeCell ref="A3:O3"/>
    <mergeCell ref="B6:O6"/>
    <mergeCell ref="B7:O7"/>
    <mergeCell ref="B32:O32"/>
    <mergeCell ref="B13:O13"/>
    <mergeCell ref="B15:O15"/>
    <mergeCell ref="B16:O16"/>
    <mergeCell ref="B18:O18"/>
    <mergeCell ref="B19:O19"/>
    <mergeCell ref="B21:O21"/>
    <mergeCell ref="B22:O22"/>
    <mergeCell ref="B24:O24"/>
    <mergeCell ref="B26:O26"/>
    <mergeCell ref="B28:N28"/>
    <mergeCell ref="B29:O29"/>
  </mergeCells>
  <pageMargins left="0.7" right="0.7" top="0.75" bottom="0.75" header="0.3" footer="0.3"/>
  <pageSetup scale="75" orientation="landscape" horizontalDpi="4294967293" verticalDpi="4294967293" r:id="rId1"/>
  <headerFooter>
    <oddFooter>&amp;LSubmit to Project Manager</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DG283"/>
  <sheetViews>
    <sheetView topLeftCell="A7" zoomScale="90" zoomScaleNormal="90" workbookViewId="0">
      <selection activeCell="A3" sqref="A3:M32"/>
    </sheetView>
  </sheetViews>
  <sheetFormatPr defaultRowHeight="14.5"/>
  <cols>
    <col min="1" max="1" width="15.7265625" customWidth="1"/>
    <col min="2" max="2" width="12.54296875" customWidth="1"/>
    <col min="3" max="3" width="11.7265625" customWidth="1"/>
    <col min="4" max="4" width="14.26953125" customWidth="1"/>
    <col min="5" max="5" width="16.26953125" customWidth="1"/>
    <col min="6" max="7" width="10" customWidth="1"/>
    <col min="9" max="11" width="12.7265625" customWidth="1"/>
    <col min="12" max="12" width="10.7265625" customWidth="1"/>
    <col min="14" max="14" width="19.453125" bestFit="1" customWidth="1"/>
    <col min="18" max="18" width="14" customWidth="1"/>
    <col min="22" max="22" width="11.26953125" customWidth="1"/>
    <col min="26" max="26" width="12.453125" customWidth="1"/>
    <col min="27" max="27" width="12.7265625" customWidth="1"/>
    <col min="28" max="28" width="16.7265625" customWidth="1"/>
    <col min="29" max="29" width="10.453125" bestFit="1" customWidth="1"/>
    <col min="32" max="32" width="15.453125" customWidth="1"/>
    <col min="33" max="33" width="13.26953125" customWidth="1"/>
    <col min="34" max="34" width="10.7265625" customWidth="1"/>
    <col min="35" max="35" width="10.54296875" customWidth="1"/>
    <col min="36" max="36" width="12" customWidth="1"/>
    <col min="37" max="37" width="10.26953125" customWidth="1"/>
    <col min="39" max="39" width="15.7265625" customWidth="1"/>
    <col min="40" max="40" width="12.26953125" customWidth="1"/>
    <col min="41" max="41" width="13.7265625" customWidth="1"/>
    <col min="42" max="42" width="12.26953125" bestFit="1" customWidth="1"/>
    <col min="43" max="43" width="9.26953125" customWidth="1"/>
    <col min="50" max="50" width="15.26953125" customWidth="1"/>
    <col min="62" max="62" width="19.26953125" customWidth="1"/>
    <col min="64" max="64" width="11.26953125" customWidth="1"/>
    <col min="66" max="66" width="10.453125" customWidth="1"/>
    <col min="67" max="67" width="14" customWidth="1"/>
    <col min="69" max="69" width="15.26953125" customWidth="1"/>
    <col min="71" max="71" width="12.7265625" customWidth="1"/>
    <col min="72" max="72" width="10.7265625" customWidth="1"/>
    <col min="73" max="73" width="11.54296875" customWidth="1"/>
    <col min="74" max="74" width="10.7265625" customWidth="1"/>
    <col min="75" max="75" width="17.7265625" customWidth="1"/>
    <col min="76" max="76" width="11.453125" customWidth="1"/>
    <col min="77" max="77" width="13.26953125" customWidth="1"/>
    <col min="78" max="78" width="12.26953125" customWidth="1"/>
    <col min="79" max="79" width="13.26953125" customWidth="1"/>
  </cols>
  <sheetData>
    <row r="1" spans="14:111" ht="18" thickBot="1">
      <c r="Q1" s="376"/>
      <c r="R1" s="299"/>
      <c r="S1" s="149"/>
      <c r="T1" s="56"/>
      <c r="U1" s="376"/>
      <c r="V1" s="299"/>
      <c r="W1" s="407"/>
      <c r="Z1" s="60"/>
      <c r="BH1" s="93"/>
      <c r="BI1" s="90"/>
      <c r="BJ1" s="90"/>
      <c r="BK1" s="90"/>
      <c r="BL1" s="179"/>
      <c r="BM1" s="151"/>
      <c r="BN1" s="151"/>
      <c r="BO1" s="151"/>
      <c r="BP1" s="151"/>
      <c r="BQ1" s="151"/>
      <c r="BR1" s="404"/>
      <c r="BS1" s="405"/>
      <c r="BT1" s="82"/>
      <c r="BU1" s="406"/>
      <c r="BX1" s="391" t="s">
        <v>11</v>
      </c>
      <c r="BY1" s="389">
        <v>1.021405182655144E-14</v>
      </c>
      <c r="BZ1" s="389">
        <v>4.4408920985006262E-15</v>
      </c>
      <c r="CA1" s="389">
        <v>0</v>
      </c>
      <c r="CB1" s="387">
        <f>AVERAGE(BY1:CA1)</f>
        <v>4.8849813083506888E-15</v>
      </c>
      <c r="CC1" s="387">
        <f>STDEV(BY1:CA1)</f>
        <v>5.121486610213742E-15</v>
      </c>
    </row>
    <row r="2" spans="14:111" ht="16" thickTop="1">
      <c r="Q2" s="376"/>
      <c r="R2" s="299"/>
      <c r="S2" s="149"/>
      <c r="T2" s="56"/>
      <c r="U2" s="376"/>
      <c r="V2" s="299"/>
      <c r="W2" s="407"/>
      <c r="Z2" s="60"/>
      <c r="BH2" s="93"/>
      <c r="BI2" s="90"/>
      <c r="BJ2" s="90"/>
      <c r="BK2" s="90"/>
      <c r="BL2" s="82"/>
      <c r="BM2" s="151"/>
      <c r="BN2" s="151"/>
      <c r="BO2" s="151"/>
      <c r="BP2" s="151"/>
      <c r="BQ2" s="151"/>
      <c r="BR2" s="404"/>
      <c r="BS2" s="405"/>
      <c r="BT2" s="82"/>
      <c r="BU2" s="406"/>
    </row>
    <row r="3" spans="14:111">
      <c r="N3" s="180"/>
      <c r="O3" s="180"/>
      <c r="P3" s="180"/>
      <c r="Q3" s="180"/>
      <c r="R3" s="56"/>
      <c r="S3" s="56"/>
      <c r="T3" s="56"/>
      <c r="U3" s="56"/>
      <c r="V3" s="56"/>
      <c r="W3" s="56"/>
      <c r="BH3" s="93"/>
      <c r="BI3" s="90"/>
      <c r="BJ3" s="90"/>
      <c r="BK3" s="90"/>
      <c r="BL3" s="82"/>
      <c r="BM3" s="151"/>
      <c r="BN3" s="151"/>
      <c r="BO3" s="151"/>
      <c r="BP3" s="151"/>
      <c r="BQ3" s="151"/>
      <c r="BR3" s="404"/>
      <c r="BS3" s="405"/>
      <c r="BT3" s="82"/>
      <c r="BU3" s="406"/>
    </row>
    <row r="4" spans="14:111">
      <c r="N4" s="56"/>
      <c r="O4" s="181"/>
      <c r="P4" s="181"/>
      <c r="Q4" s="181"/>
      <c r="R4" s="56"/>
      <c r="BH4" s="93"/>
      <c r="BI4" s="90"/>
      <c r="BJ4" s="90"/>
      <c r="BK4" s="90"/>
      <c r="BL4" s="82"/>
      <c r="BM4" s="151"/>
      <c r="BN4" s="151"/>
      <c r="BO4" s="151"/>
      <c r="BP4" s="151"/>
      <c r="BQ4" s="151"/>
      <c r="BR4" s="404"/>
      <c r="BS4" s="405"/>
      <c r="BT4" s="82"/>
      <c r="BU4" s="406"/>
    </row>
    <row r="5" spans="14:111">
      <c r="BJ5" s="56"/>
      <c r="BK5" s="56"/>
      <c r="BL5" s="56"/>
      <c r="BM5" s="56"/>
      <c r="BN5" s="56"/>
      <c r="BO5" s="56"/>
      <c r="BP5" s="56"/>
      <c r="BQ5" s="93"/>
      <c r="BR5" s="376"/>
      <c r="BS5" s="56"/>
      <c r="BT5" s="178"/>
      <c r="BU5" s="378"/>
      <c r="BV5" s="56"/>
      <c r="BW5" s="56"/>
      <c r="BX5" s="56"/>
      <c r="BY5" s="56"/>
      <c r="BZ5" s="56"/>
      <c r="CA5" s="56"/>
      <c r="CB5" s="56"/>
      <c r="CC5" s="56"/>
      <c r="CD5" s="56"/>
      <c r="CE5" s="56"/>
      <c r="CF5" s="56"/>
      <c r="CG5" s="56"/>
      <c r="CH5" s="56"/>
      <c r="CI5" s="56"/>
      <c r="CJ5" s="56"/>
      <c r="CK5" s="56"/>
      <c r="CL5" s="56"/>
      <c r="CM5" s="56"/>
      <c r="CN5" s="56"/>
      <c r="CO5" s="56"/>
      <c r="CP5" s="56"/>
      <c r="CQ5" s="93"/>
      <c r="CR5" s="93"/>
      <c r="CS5" s="93"/>
      <c r="CT5" s="93"/>
      <c r="CU5" s="93"/>
      <c r="CV5" s="93"/>
      <c r="CW5" s="93"/>
      <c r="CX5" s="93"/>
      <c r="CY5" s="93"/>
      <c r="CZ5" s="56"/>
      <c r="DA5" s="56"/>
      <c r="DB5" s="56"/>
      <c r="DC5" s="56"/>
      <c r="DD5" s="56"/>
      <c r="DE5" s="56"/>
      <c r="DF5" s="56"/>
      <c r="DG5" s="56"/>
    </row>
    <row r="6" spans="14:111">
      <c r="N6" s="130"/>
      <c r="BJ6" s="56"/>
      <c r="BK6" s="56"/>
      <c r="BL6" s="56"/>
      <c r="BM6" s="56"/>
      <c r="BN6" s="56"/>
      <c r="BO6" s="56"/>
      <c r="BP6" s="56"/>
      <c r="BQ6" s="56"/>
      <c r="BR6" s="56"/>
      <c r="BS6" s="56"/>
      <c r="BT6" s="56"/>
      <c r="BU6" s="93"/>
      <c r="BV6" s="56"/>
      <c r="BW6" s="56"/>
      <c r="BX6" s="56"/>
      <c r="BY6" s="56"/>
      <c r="BZ6" s="56"/>
      <c r="CA6" s="56"/>
      <c r="CB6" s="56"/>
      <c r="CC6" s="56"/>
      <c r="CD6" s="56"/>
      <c r="CE6" s="56"/>
      <c r="CF6" s="56"/>
      <c r="CG6" s="56"/>
      <c r="CH6" s="56"/>
      <c r="CI6" s="56"/>
      <c r="CJ6" s="56"/>
      <c r="CK6" s="56"/>
      <c r="CL6" s="56"/>
      <c r="CM6" s="56"/>
      <c r="CN6" s="56"/>
      <c r="CO6" s="56"/>
      <c r="CP6" s="56"/>
      <c r="CQ6" s="93"/>
      <c r="CR6" s="93"/>
      <c r="CS6" s="93"/>
      <c r="CT6" s="93"/>
      <c r="CU6" s="93"/>
      <c r="CV6" s="93"/>
      <c r="CW6" s="93"/>
      <c r="CX6" s="93"/>
      <c r="CY6" s="93"/>
      <c r="CZ6" s="56"/>
      <c r="DA6" s="56"/>
      <c r="DB6" s="93"/>
      <c r="DC6" s="93"/>
      <c r="DD6" s="93"/>
      <c r="DE6" s="93"/>
      <c r="DF6" s="93"/>
      <c r="DG6" s="56"/>
    </row>
    <row r="7" spans="14:111">
      <c r="N7" s="130"/>
      <c r="BJ7" s="56"/>
      <c r="BK7" s="56"/>
      <c r="BL7" s="56"/>
      <c r="BM7" s="56"/>
      <c r="BN7" s="56"/>
      <c r="BO7" s="56"/>
      <c r="BP7" s="56"/>
      <c r="BQ7" s="56"/>
      <c r="BR7" s="56"/>
      <c r="BS7" s="56"/>
      <c r="BT7" s="56"/>
      <c r="BU7" s="93"/>
      <c r="BV7" s="56"/>
      <c r="BW7" s="56"/>
      <c r="BX7" s="56"/>
      <c r="BY7" s="56"/>
      <c r="BZ7" s="56"/>
      <c r="CA7" s="56"/>
      <c r="CB7" s="56"/>
      <c r="CC7" s="56"/>
      <c r="CD7" s="56"/>
      <c r="CE7" s="56"/>
      <c r="CF7" s="56"/>
      <c r="CG7" s="56"/>
      <c r="CH7" s="56"/>
      <c r="CI7" s="56"/>
      <c r="CJ7" s="56"/>
      <c r="CK7" s="56"/>
      <c r="CL7" s="56"/>
      <c r="CM7" s="56"/>
      <c r="CN7" s="56"/>
      <c r="CO7" s="56"/>
      <c r="CP7" s="56"/>
      <c r="CQ7" s="93"/>
      <c r="CR7" s="93"/>
      <c r="CS7" s="93"/>
      <c r="CT7" s="93"/>
      <c r="CU7" s="93"/>
      <c r="CV7" s="93"/>
      <c r="CW7" s="93"/>
      <c r="CX7" s="93"/>
      <c r="CY7" s="93"/>
      <c r="CZ7" s="56"/>
      <c r="DA7" s="56"/>
      <c r="DB7" s="93"/>
      <c r="DC7" s="93"/>
      <c r="DD7" s="93"/>
      <c r="DE7" s="93"/>
      <c r="DF7" s="93"/>
      <c r="DG7" s="56"/>
    </row>
    <row r="8" spans="14:111">
      <c r="N8" s="130"/>
      <c r="BJ8" s="56"/>
      <c r="BK8" s="56"/>
      <c r="BL8" s="56"/>
      <c r="BM8" s="56"/>
      <c r="BN8" s="56"/>
      <c r="BO8" s="56"/>
      <c r="BP8" s="56"/>
      <c r="BQ8" s="56"/>
      <c r="BR8" s="56"/>
      <c r="BS8" s="56"/>
      <c r="BT8" s="56"/>
      <c r="BU8" s="93"/>
      <c r="BV8" s="56"/>
      <c r="BW8" s="56"/>
      <c r="BX8" s="56"/>
      <c r="BY8" s="56"/>
      <c r="BZ8" s="56"/>
      <c r="CA8" s="56"/>
      <c r="CB8" s="56"/>
      <c r="CC8" s="56"/>
      <c r="CD8" s="56"/>
      <c r="CE8" s="56"/>
      <c r="CF8" s="56"/>
      <c r="CG8" s="56"/>
      <c r="CH8" s="56"/>
      <c r="CI8" s="56"/>
      <c r="CJ8" s="56"/>
      <c r="CK8" s="56"/>
      <c r="CL8" s="56"/>
      <c r="CM8" s="56"/>
      <c r="CN8" s="56"/>
      <c r="CO8" s="56"/>
      <c r="CP8" s="56"/>
      <c r="CQ8" s="93"/>
      <c r="CR8" s="93"/>
      <c r="CS8" s="93"/>
      <c r="CT8" s="93"/>
      <c r="CU8" s="93"/>
      <c r="CV8" s="93"/>
      <c r="CW8" s="93"/>
      <c r="CX8" s="93"/>
      <c r="CY8" s="93"/>
      <c r="CZ8" s="56"/>
      <c r="DA8" s="56"/>
      <c r="DB8" s="93"/>
      <c r="DC8" s="93"/>
      <c r="DD8" s="93"/>
      <c r="DE8" s="93"/>
      <c r="DF8" s="93"/>
      <c r="DG8" s="56"/>
    </row>
    <row r="9" spans="14:111">
      <c r="N9" s="130"/>
      <c r="BJ9" s="56"/>
      <c r="BK9" s="56"/>
      <c r="BL9" s="56"/>
      <c r="BM9" s="56"/>
      <c r="BN9" s="56"/>
      <c r="BO9" s="56"/>
      <c r="BP9" s="56"/>
      <c r="BQ9" s="56"/>
      <c r="BR9" s="56"/>
      <c r="BS9" s="56"/>
      <c r="BT9" s="56"/>
      <c r="BU9" s="93"/>
      <c r="BV9" s="56"/>
      <c r="BW9" s="56"/>
      <c r="BX9" s="56"/>
      <c r="BY9" s="56"/>
      <c r="BZ9" s="56"/>
      <c r="CA9" s="56"/>
      <c r="CB9" s="56"/>
      <c r="CC9" s="56"/>
      <c r="CD9" s="56"/>
      <c r="CE9" s="56"/>
      <c r="CF9" s="56"/>
      <c r="CG9" s="56"/>
      <c r="CH9" s="56"/>
      <c r="CI9" s="56"/>
      <c r="CJ9" s="56"/>
      <c r="CK9" s="56"/>
      <c r="CL9" s="56"/>
      <c r="CM9" s="56"/>
      <c r="CN9" s="56"/>
      <c r="CO9" s="56"/>
      <c r="CP9" s="56"/>
      <c r="CQ9" s="93"/>
      <c r="CR9" s="93"/>
      <c r="CS9" s="93"/>
      <c r="CT9" s="93"/>
      <c r="CU9" s="93"/>
      <c r="CV9" s="93"/>
      <c r="CW9" s="93"/>
      <c r="CX9" s="93"/>
      <c r="CY9" s="93"/>
      <c r="CZ9" s="56"/>
      <c r="DA9" s="56"/>
      <c r="DB9" s="93"/>
      <c r="DC9" s="93"/>
      <c r="DD9" s="93"/>
      <c r="DE9" s="93"/>
      <c r="DF9" s="93"/>
      <c r="DG9" s="56"/>
    </row>
    <row r="10" spans="14:111">
      <c r="N10" s="130"/>
      <c r="BJ10" s="56"/>
      <c r="BK10" s="56"/>
      <c r="BL10" s="56"/>
      <c r="BM10" s="56"/>
      <c r="BN10" s="56"/>
      <c r="BO10" s="56"/>
      <c r="BP10" s="56"/>
      <c r="BQ10" s="56"/>
      <c r="BR10" s="56"/>
      <c r="BS10" s="56"/>
      <c r="BT10" s="56"/>
      <c r="BU10" s="93"/>
      <c r="BV10" s="56"/>
      <c r="BW10" s="56"/>
      <c r="BX10" s="56"/>
      <c r="BY10" s="56"/>
      <c r="BZ10" s="56"/>
      <c r="CA10" s="56"/>
      <c r="CB10" s="56"/>
      <c r="CC10" s="56"/>
      <c r="CD10" s="56"/>
      <c r="CE10" s="56"/>
      <c r="CF10" s="56"/>
      <c r="CG10" s="56"/>
      <c r="CH10" s="56"/>
      <c r="CI10" s="56"/>
      <c r="CJ10" s="56"/>
      <c r="CK10" s="56"/>
      <c r="CL10" s="56"/>
      <c r="CM10" s="56"/>
      <c r="CN10" s="56"/>
      <c r="CO10" s="56"/>
      <c r="CP10" s="56"/>
      <c r="CQ10" s="93"/>
      <c r="CR10" s="93"/>
      <c r="CS10" s="93"/>
      <c r="CT10" s="93"/>
      <c r="CU10" s="93"/>
      <c r="CV10" s="93"/>
      <c r="CW10" s="93"/>
      <c r="CX10" s="93"/>
      <c r="CY10" s="93"/>
      <c r="CZ10" s="56"/>
      <c r="DA10" s="56"/>
      <c r="DB10" s="93"/>
      <c r="DC10" s="93"/>
      <c r="DD10" s="93"/>
      <c r="DE10" s="93"/>
      <c r="DF10" s="93"/>
      <c r="DG10" s="56"/>
    </row>
    <row r="11" spans="14:111">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136"/>
      <c r="CW11" s="56"/>
      <c r="CX11" s="56"/>
      <c r="CY11" s="56"/>
      <c r="CZ11" s="56"/>
      <c r="DA11" s="56"/>
      <c r="DB11" s="56"/>
      <c r="DC11" s="56"/>
      <c r="DD11" s="56"/>
      <c r="DE11" s="56"/>
      <c r="DF11" s="56"/>
      <c r="DG11" s="56"/>
    </row>
    <row r="12" spans="14:111">
      <c r="N12" s="60"/>
      <c r="O12" s="129"/>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row>
    <row r="13" spans="14:111">
      <c r="N13" s="60"/>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93"/>
      <c r="CP13" s="93"/>
      <c r="CQ13" s="93"/>
      <c r="CR13" s="93"/>
      <c r="CS13" s="93"/>
      <c r="CT13" s="93"/>
      <c r="CU13" s="93"/>
      <c r="CV13" s="377"/>
      <c r="CW13" s="93"/>
      <c r="CX13" s="93"/>
      <c r="CY13" s="93"/>
      <c r="CZ13" s="56"/>
      <c r="DA13" s="93"/>
      <c r="DB13" s="93"/>
      <c r="DC13" s="93"/>
      <c r="DD13" s="93"/>
      <c r="DE13" s="93"/>
      <c r="DF13" s="377"/>
      <c r="DG13" s="93"/>
    </row>
    <row r="14" spans="14:111">
      <c r="DD14" s="56"/>
      <c r="DE14" s="56"/>
      <c r="DF14" s="56"/>
      <c r="DG14" s="56"/>
    </row>
    <row r="15" spans="14:111">
      <c r="DD15" s="93"/>
      <c r="DE15" s="93"/>
      <c r="DF15" s="93"/>
      <c r="DG15" s="56"/>
    </row>
    <row r="16" spans="14:111">
      <c r="DD16" s="56"/>
      <c r="DE16" s="56"/>
      <c r="DF16" s="56"/>
      <c r="DG16" s="56"/>
    </row>
    <row r="17" spans="108:111">
      <c r="DD17" s="56"/>
      <c r="DE17" s="56"/>
      <c r="DF17" s="56"/>
      <c r="DG17" s="56"/>
    </row>
    <row r="18" spans="108:111">
      <c r="DD18" s="56"/>
      <c r="DE18" s="56"/>
      <c r="DF18" s="56"/>
      <c r="DG18" s="56"/>
    </row>
    <row r="19" spans="108:111">
      <c r="DD19" s="93"/>
      <c r="DE19" s="93"/>
      <c r="DF19" s="93"/>
      <c r="DG19" s="56"/>
    </row>
    <row r="20" spans="108:111">
      <c r="DD20" s="56"/>
      <c r="DE20" s="56"/>
      <c r="DF20" s="56"/>
      <c r="DG20" s="56"/>
    </row>
    <row r="21" spans="108:111">
      <c r="DD21" s="56"/>
      <c r="DE21" s="56"/>
      <c r="DF21" s="56"/>
      <c r="DG21" s="56"/>
    </row>
    <row r="22" spans="108:111">
      <c r="DD22" s="56"/>
      <c r="DE22" s="56"/>
      <c r="DF22" s="56"/>
      <c r="DG22" s="56"/>
    </row>
    <row r="23" spans="108:111">
      <c r="DD23" s="56"/>
      <c r="DE23" s="56"/>
      <c r="DF23" s="56"/>
      <c r="DG23" s="56"/>
    </row>
    <row r="24" spans="108:111">
      <c r="DD24" s="56"/>
      <c r="DE24" s="56"/>
      <c r="DF24" s="56"/>
      <c r="DG24" s="56"/>
    </row>
    <row r="25" spans="108:111">
      <c r="DD25" s="56"/>
      <c r="DE25" s="56"/>
      <c r="DF25" s="56"/>
      <c r="DG25" s="56"/>
    </row>
    <row r="26" spans="108:111">
      <c r="DD26" s="56"/>
      <c r="DE26" s="56"/>
      <c r="DF26" s="56"/>
      <c r="DG26" s="56"/>
    </row>
    <row r="27" spans="108:111">
      <c r="DD27" s="56"/>
      <c r="DE27" s="56"/>
      <c r="DF27" s="56"/>
      <c r="DG27" s="56"/>
    </row>
    <row r="28" spans="108:111">
      <c r="DD28" s="56"/>
      <c r="DE28" s="56"/>
      <c r="DF28" s="56"/>
      <c r="DG28" s="56"/>
    </row>
    <row r="29" spans="108:111">
      <c r="DD29" s="56"/>
      <c r="DE29" s="56"/>
      <c r="DF29" s="56"/>
      <c r="DG29" s="56"/>
    </row>
    <row r="30" spans="108:111">
      <c r="DD30" s="56"/>
      <c r="DE30" s="56"/>
      <c r="DF30" s="56"/>
      <c r="DG30" s="56"/>
    </row>
    <row r="31" spans="108:111">
      <c r="DD31" s="56"/>
      <c r="DE31" s="56"/>
      <c r="DF31" s="56"/>
      <c r="DG31" s="56"/>
    </row>
    <row r="32" spans="108:111">
      <c r="DD32" s="56"/>
      <c r="DE32" s="56"/>
      <c r="DF32" s="56"/>
      <c r="DG32" s="56"/>
    </row>
    <row r="33" spans="2:111">
      <c r="DD33" s="56"/>
      <c r="DE33" s="56"/>
      <c r="DF33" s="56"/>
      <c r="DG33" s="56"/>
    </row>
    <row r="34" spans="2:111">
      <c r="DD34" s="56"/>
      <c r="DE34" s="56"/>
      <c r="DF34" s="56"/>
      <c r="DG34" s="56"/>
    </row>
    <row r="35" spans="2:111">
      <c r="DD35" s="56"/>
      <c r="DE35" s="56"/>
      <c r="DF35" s="56"/>
      <c r="DG35" s="56"/>
    </row>
    <row r="36" spans="2:111">
      <c r="DD36" s="56"/>
      <c r="DE36" s="56"/>
      <c r="DF36" s="56"/>
      <c r="DG36" s="56"/>
    </row>
    <row r="37" spans="2:111">
      <c r="DD37" s="56"/>
      <c r="DE37" s="56"/>
      <c r="DF37" s="56"/>
      <c r="DG37" s="56"/>
    </row>
    <row r="38" spans="2:111">
      <c r="DD38" s="56"/>
      <c r="DE38" s="56"/>
      <c r="DF38" s="56"/>
      <c r="DG38" s="56"/>
    </row>
    <row r="39" spans="2:111">
      <c r="DD39" s="56"/>
      <c r="DE39" s="56"/>
      <c r="DF39" s="56"/>
      <c r="DG39" s="56"/>
    </row>
    <row r="40" spans="2:111">
      <c r="DD40" s="56"/>
      <c r="DE40" s="56"/>
      <c r="DF40" s="56"/>
      <c r="DG40" s="56"/>
    </row>
    <row r="41" spans="2:111">
      <c r="DD41" s="56"/>
      <c r="DE41" s="56"/>
      <c r="DF41" s="56"/>
      <c r="DG41" s="56"/>
    </row>
    <row r="42" spans="2:111">
      <c r="DD42" s="56"/>
      <c r="DE42" s="56"/>
      <c r="DF42" s="56"/>
      <c r="DG42" s="56"/>
    </row>
    <row r="43" spans="2:111">
      <c r="DD43" s="56"/>
      <c r="DE43" s="56"/>
      <c r="DF43" s="56"/>
      <c r="DG43" s="56"/>
    </row>
    <row r="44" spans="2:111">
      <c r="DD44" s="56"/>
      <c r="DE44" s="56"/>
      <c r="DF44" s="56"/>
      <c r="DG44" s="56"/>
    </row>
    <row r="45" spans="2:111">
      <c r="DD45" s="56"/>
      <c r="DE45" s="56"/>
      <c r="DF45" s="56"/>
      <c r="DG45" s="56"/>
    </row>
    <row r="46" spans="2:111">
      <c r="G46" s="67" t="s">
        <v>37</v>
      </c>
      <c r="H46" s="64" t="s">
        <v>38</v>
      </c>
      <c r="DD46" s="56"/>
      <c r="DE46" s="56"/>
      <c r="DF46" s="56"/>
      <c r="DG46" s="56"/>
    </row>
    <row r="47" spans="2:111">
      <c r="B47" s="70" t="s">
        <v>39</v>
      </c>
      <c r="C47" s="71"/>
      <c r="G47" s="68">
        <v>0.8</v>
      </c>
      <c r="H47" s="61">
        <v>0.26500000000000001</v>
      </c>
      <c r="DD47" s="56"/>
      <c r="DE47" s="56"/>
      <c r="DF47" s="56"/>
      <c r="DG47" s="56"/>
    </row>
    <row r="48" spans="2:111">
      <c r="B48" s="72" t="s">
        <v>40</v>
      </c>
      <c r="C48" s="73" t="s">
        <v>41</v>
      </c>
      <c r="G48" s="69">
        <v>0.3</v>
      </c>
      <c r="H48" s="66">
        <v>0.35</v>
      </c>
      <c r="DD48" s="56"/>
      <c r="DE48" s="56"/>
      <c r="DF48" s="56"/>
      <c r="DG48" s="56"/>
    </row>
    <row r="49" spans="2:111">
      <c r="B49" s="65">
        <v>0.68</v>
      </c>
      <c r="C49" s="66">
        <v>0.32</v>
      </c>
      <c r="D49" s="86">
        <v>0.68</v>
      </c>
      <c r="E49" s="87">
        <v>0.32</v>
      </c>
      <c r="G49" s="74">
        <f>G47</f>
        <v>0.8</v>
      </c>
      <c r="H49" s="66">
        <f>0.38</f>
        <v>0.38</v>
      </c>
      <c r="DD49" s="56"/>
      <c r="DE49" s="56"/>
      <c r="DF49" s="56"/>
      <c r="DG49" s="56"/>
    </row>
    <row r="50" spans="2:111">
      <c r="B50" s="65">
        <v>0.68</v>
      </c>
      <c r="C50" s="66">
        <v>0.36</v>
      </c>
      <c r="D50" s="62">
        <v>0.52</v>
      </c>
      <c r="E50" s="63">
        <v>0.34</v>
      </c>
      <c r="G50" s="75">
        <v>0.3</v>
      </c>
      <c r="H50" s="76">
        <v>0.46500000000000002</v>
      </c>
      <c r="DD50" s="56"/>
      <c r="DE50" s="56"/>
      <c r="DF50" s="56"/>
      <c r="DG50" s="56"/>
    </row>
    <row r="51" spans="2:111">
      <c r="B51" s="65">
        <v>0.52</v>
      </c>
      <c r="C51" s="66">
        <v>0.38</v>
      </c>
      <c r="D51" s="12"/>
      <c r="G51" s="75">
        <v>0.75</v>
      </c>
      <c r="H51" s="76">
        <v>0.27350000000000002</v>
      </c>
      <c r="DD51" s="56"/>
      <c r="DE51" s="56"/>
      <c r="DF51" s="56"/>
      <c r="DG51" s="56"/>
    </row>
    <row r="52" spans="2:111">
      <c r="B52" s="62">
        <v>0.52</v>
      </c>
      <c r="C52" s="63">
        <v>0.34</v>
      </c>
      <c r="D52" s="85"/>
      <c r="E52" s="60"/>
      <c r="G52" s="77">
        <f>G51</f>
        <v>0.75</v>
      </c>
      <c r="H52" s="76">
        <v>0.38850000000000001</v>
      </c>
      <c r="DD52" s="56"/>
      <c r="DE52" s="56"/>
      <c r="DF52" s="56"/>
      <c r="DG52" s="56"/>
    </row>
    <row r="53" spans="2:111">
      <c r="G53" s="78">
        <v>0.45</v>
      </c>
      <c r="H53" s="79">
        <v>0.32450000000000001</v>
      </c>
      <c r="DD53" s="56"/>
      <c r="DE53" s="56"/>
      <c r="DF53" s="56"/>
      <c r="DG53" s="56"/>
    </row>
    <row r="54" spans="2:111">
      <c r="G54" s="80">
        <f>G53</f>
        <v>0.45</v>
      </c>
      <c r="H54" s="81">
        <v>0.4395</v>
      </c>
      <c r="DD54" s="56"/>
      <c r="DE54" s="56"/>
      <c r="DF54" s="56"/>
      <c r="DG54" s="56"/>
    </row>
    <row r="55" spans="2:111">
      <c r="DD55" s="56"/>
      <c r="DE55" s="56"/>
      <c r="DF55" s="56"/>
      <c r="DG55" s="56"/>
    </row>
    <row r="56" spans="2:111">
      <c r="Q56" s="56"/>
      <c r="R56" s="56"/>
      <c r="S56" s="56"/>
      <c r="T56" s="56"/>
      <c r="U56" s="56"/>
      <c r="V56" s="56"/>
      <c r="W56" s="56"/>
      <c r="X56" s="56"/>
      <c r="Y56" s="56"/>
      <c r="Z56" s="56"/>
      <c r="AA56" s="56"/>
      <c r="AB56" s="56"/>
      <c r="AC56" s="809"/>
      <c r="AD56" s="809"/>
      <c r="AE56" s="809"/>
      <c r="AF56" s="809"/>
      <c r="AG56" s="809"/>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93"/>
      <c r="BP56" s="93"/>
      <c r="BQ56" s="93"/>
      <c r="BR56" s="93"/>
      <c r="BS56" s="56"/>
      <c r="BT56" s="56"/>
      <c r="BU56" s="56"/>
      <c r="BV56" s="56"/>
      <c r="BW56" s="93"/>
      <c r="BX56" s="379"/>
      <c r="BY56" s="56"/>
      <c r="BZ56" s="93"/>
      <c r="CA56" s="93"/>
      <c r="CB56" s="93"/>
      <c r="CC56" s="56"/>
      <c r="CD56" s="56"/>
      <c r="CE56" s="56"/>
      <c r="CF56" s="56"/>
      <c r="CG56" s="56"/>
      <c r="CH56" s="56"/>
      <c r="CI56" s="56"/>
      <c r="CJ56" s="56"/>
      <c r="CK56" s="93"/>
      <c r="CL56" s="1"/>
      <c r="CM56" s="56"/>
      <c r="CN56" s="56"/>
      <c r="CO56" s="56"/>
      <c r="CP56" s="56"/>
      <c r="CQ56" s="56"/>
      <c r="CR56" s="56"/>
      <c r="CS56" s="56"/>
      <c r="CT56" s="56"/>
      <c r="CU56" s="56"/>
      <c r="CV56" s="56"/>
      <c r="CW56" s="56"/>
      <c r="CX56" s="56"/>
      <c r="CY56" s="56"/>
      <c r="CZ56" s="56"/>
      <c r="DA56" s="56"/>
      <c r="DB56" s="56"/>
      <c r="DC56" s="56"/>
      <c r="DD56" s="56"/>
      <c r="DE56" s="56"/>
      <c r="DF56" s="56"/>
      <c r="DG56" s="56"/>
    </row>
    <row r="57" spans="2:111">
      <c r="Q57" s="56"/>
      <c r="R57" s="56"/>
      <c r="S57" s="56"/>
      <c r="T57" s="56"/>
      <c r="U57" s="56"/>
      <c r="V57" s="56"/>
      <c r="W57" s="56"/>
      <c r="X57" s="56"/>
      <c r="Y57" s="56"/>
      <c r="Z57" s="56"/>
      <c r="AA57" s="56"/>
      <c r="AB57" s="56"/>
      <c r="AC57" s="809"/>
      <c r="AD57" s="809"/>
      <c r="AE57" s="809"/>
      <c r="AF57" s="809"/>
      <c r="AG57" s="809"/>
      <c r="AH57" s="56"/>
      <c r="AI57" s="56"/>
      <c r="AJ57" s="56"/>
      <c r="AK57" s="56"/>
      <c r="AL57" s="56"/>
      <c r="AM57" s="56"/>
      <c r="AN57" s="93"/>
      <c r="AO57" s="93"/>
      <c r="AP57" s="93"/>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1"/>
      <c r="BT57" s="56"/>
      <c r="BU57" s="380"/>
      <c r="BV57" s="177"/>
      <c r="BW57" s="150"/>
      <c r="BX57" s="379"/>
      <c r="BY57" s="320"/>
      <c r="BZ57" s="56"/>
      <c r="CA57" s="240"/>
      <c r="CB57" s="249"/>
      <c r="CC57" s="56"/>
      <c r="CD57" s="56"/>
      <c r="CE57" s="56"/>
      <c r="CF57" s="56"/>
      <c r="CG57" s="56"/>
      <c r="CH57" s="56"/>
      <c r="CI57" s="56"/>
      <c r="CJ57" s="56"/>
      <c r="CK57" s="93"/>
      <c r="CL57" s="1"/>
      <c r="CM57" s="56"/>
      <c r="CN57" s="56"/>
      <c r="CO57" s="56"/>
      <c r="CP57" s="56"/>
      <c r="CQ57" s="56"/>
      <c r="CR57" s="56"/>
      <c r="CS57" s="56"/>
      <c r="CT57" s="56"/>
      <c r="CU57" s="56"/>
      <c r="CV57" s="56"/>
      <c r="CW57" s="56"/>
      <c r="CX57" s="56"/>
      <c r="CY57" s="56"/>
      <c r="CZ57" s="56"/>
      <c r="DA57" s="56"/>
      <c r="DB57" s="56"/>
      <c r="DC57" s="56"/>
      <c r="DD57" s="56"/>
      <c r="DE57" s="56"/>
      <c r="DF57" s="56"/>
      <c r="DG57" s="56"/>
    </row>
    <row r="58" spans="2:111">
      <c r="B58" s="117" t="s">
        <v>22</v>
      </c>
      <c r="C58" s="117" t="s">
        <v>23</v>
      </c>
      <c r="D58" s="117" t="s">
        <v>25</v>
      </c>
      <c r="E58" s="117" t="s">
        <v>13</v>
      </c>
      <c r="F58" s="12"/>
      <c r="G58" s="12"/>
      <c r="H58" s="33" t="s">
        <v>30</v>
      </c>
      <c r="I58" s="30"/>
      <c r="J58" s="30"/>
      <c r="K58" s="10"/>
      <c r="L58" s="12"/>
      <c r="N58" s="182"/>
      <c r="O58" s="56"/>
      <c r="P58" s="56"/>
      <c r="Q58" s="56"/>
      <c r="R58" s="56"/>
      <c r="BE58" s="95" t="s">
        <v>37</v>
      </c>
      <c r="BF58" s="95" t="s">
        <v>38</v>
      </c>
      <c r="BH58" s="93"/>
      <c r="BI58" s="90"/>
      <c r="BJ58" s="90"/>
      <c r="BK58" s="90"/>
      <c r="BL58" s="82"/>
      <c r="BM58" s="151"/>
      <c r="BN58" s="151"/>
      <c r="BO58" s="151"/>
      <c r="BP58" s="151"/>
      <c r="BQ58" s="151"/>
      <c r="BR58" s="404"/>
      <c r="BS58" s="405"/>
      <c r="BT58" s="82"/>
      <c r="BU58" s="406"/>
    </row>
    <row r="59" spans="2:111">
      <c r="B59" s="105">
        <v>1.5</v>
      </c>
      <c r="C59" s="111">
        <v>37.5</v>
      </c>
      <c r="D59" s="112">
        <f t="shared" ref="D59:D70" si="0">C59*1000</f>
        <v>37500</v>
      </c>
      <c r="E59" s="113">
        <f t="shared" ref="E59:E70" si="1">D59^0.45</f>
        <v>114.37051336098466</v>
      </c>
      <c r="F59" s="12"/>
      <c r="G59" s="12"/>
      <c r="H59" s="28"/>
      <c r="I59" s="9"/>
      <c r="J59" s="32" t="s">
        <v>21</v>
      </c>
      <c r="K59" s="10"/>
      <c r="L59" s="12"/>
      <c r="N59" s="93"/>
      <c r="O59" s="83"/>
      <c r="P59" s="82"/>
      <c r="Q59" s="83"/>
      <c r="R59" s="56"/>
      <c r="AC59" s="12"/>
      <c r="AD59" s="82"/>
      <c r="AE59" s="83"/>
      <c r="AF59" s="12"/>
      <c r="AZ59" s="60"/>
      <c r="BE59" s="37">
        <v>12</v>
      </c>
      <c r="BF59" s="96">
        <v>0</v>
      </c>
      <c r="BH59" s="93"/>
      <c r="BI59" s="90"/>
      <c r="BJ59" s="90"/>
      <c r="BK59" s="90"/>
      <c r="BL59" s="82"/>
      <c r="BM59" s="151"/>
      <c r="BN59" s="151"/>
      <c r="BO59" s="151"/>
      <c r="BP59" s="151"/>
      <c r="BQ59" s="151"/>
      <c r="BR59" s="404"/>
      <c r="BS59" s="405"/>
      <c r="BT59" s="82"/>
      <c r="BU59" s="406"/>
    </row>
    <row r="60" spans="2:111" ht="27">
      <c r="B60" s="106">
        <v>1</v>
      </c>
      <c r="C60" s="114">
        <v>25</v>
      </c>
      <c r="D60" s="112">
        <f t="shared" si="0"/>
        <v>25000</v>
      </c>
      <c r="E60" s="115">
        <f t="shared" si="1"/>
        <v>95.295634032720628</v>
      </c>
      <c r="F60" s="12"/>
      <c r="G60" s="12"/>
      <c r="H60" s="11" t="s">
        <v>16</v>
      </c>
      <c r="I60" s="29" t="s">
        <v>26</v>
      </c>
      <c r="J60" s="29" t="s">
        <v>27</v>
      </c>
      <c r="K60" s="57" t="s">
        <v>29</v>
      </c>
      <c r="N60" s="93"/>
      <c r="O60" s="83"/>
      <c r="P60" s="82"/>
      <c r="Q60" s="83"/>
      <c r="R60" s="56"/>
      <c r="AZ60" s="60"/>
      <c r="BE60" s="55">
        <v>11</v>
      </c>
      <c r="BF60" s="97">
        <v>0.18</v>
      </c>
      <c r="BH60" s="93"/>
      <c r="BI60" s="90"/>
      <c r="BJ60" s="90"/>
      <c r="BK60" s="90"/>
      <c r="BL60" s="82"/>
      <c r="BM60" s="151"/>
      <c r="BN60" s="151"/>
      <c r="BO60" s="151"/>
      <c r="BP60" s="151"/>
      <c r="BQ60" s="151"/>
      <c r="BR60" s="404"/>
      <c r="BS60" s="405"/>
      <c r="BT60" s="82"/>
      <c r="BU60" s="406"/>
    </row>
    <row r="61" spans="2:111">
      <c r="B61" s="106">
        <v>0.75</v>
      </c>
      <c r="C61" s="114">
        <v>19</v>
      </c>
      <c r="D61" s="112">
        <f t="shared" si="0"/>
        <v>19000</v>
      </c>
      <c r="E61" s="113">
        <f t="shared" si="1"/>
        <v>84.224631674288489</v>
      </c>
      <c r="F61" s="12"/>
      <c r="G61" s="12"/>
      <c r="H61" s="24">
        <v>1.5</v>
      </c>
      <c r="I61" s="254" t="e">
        <f>B$78*'Tarantula Curve Mix Design'!#REF!+'Tarantula Curve Mix Design'!#REF!*C$78+D$78*'Tarantula Curve Mix Design'!#REF!</f>
        <v>#REF!</v>
      </c>
      <c r="J61" s="139" t="e">
        <f>1-I61</f>
        <v>#REF!</v>
      </c>
      <c r="K61" s="255" t="e">
        <f>J61</f>
        <v>#REF!</v>
      </c>
      <c r="N61" s="93"/>
      <c r="O61" s="83"/>
      <c r="P61" s="82"/>
      <c r="Q61" s="83"/>
      <c r="R61" s="56"/>
      <c r="BE61" s="55">
        <v>2</v>
      </c>
      <c r="BF61" s="97">
        <v>0.18</v>
      </c>
      <c r="BH61" s="93"/>
      <c r="BI61" s="90"/>
      <c r="BJ61" s="90"/>
      <c r="BK61" s="90"/>
      <c r="BL61" s="82"/>
      <c r="BM61" s="151"/>
      <c r="BN61" s="151"/>
      <c r="BO61" s="151"/>
      <c r="BP61" s="151"/>
      <c r="BQ61" s="151"/>
      <c r="BR61" s="404"/>
      <c r="BS61" s="405"/>
      <c r="BT61" s="82"/>
      <c r="BU61" s="406"/>
    </row>
    <row r="62" spans="2:111" ht="18" thickBot="1">
      <c r="B62" s="106">
        <v>0.5</v>
      </c>
      <c r="C62" s="114">
        <v>12.5</v>
      </c>
      <c r="D62" s="112">
        <f t="shared" si="0"/>
        <v>12500</v>
      </c>
      <c r="E62" s="113">
        <f t="shared" si="1"/>
        <v>69.760487336687731</v>
      </c>
      <c r="F62" s="85"/>
      <c r="G62" s="85"/>
      <c r="H62" s="24">
        <v>1</v>
      </c>
      <c r="I62" s="254" t="e">
        <f>B$78*'Tarantula Curve Mix Design'!#REF!+'Tarantula Curve Mix Design'!#REF!*C$78+D$78*'Tarantula Curve Mix Design'!#REF!</f>
        <v>#REF!</v>
      </c>
      <c r="J62" s="75" t="e">
        <f>I61-I62</f>
        <v>#REF!</v>
      </c>
      <c r="K62" s="256" t="e">
        <f>J61+J62</f>
        <v>#REF!</v>
      </c>
      <c r="L62" s="38" t="s">
        <v>35</v>
      </c>
      <c r="M62" s="70"/>
      <c r="N62" s="93"/>
      <c r="O62" s="83"/>
      <c r="P62" s="82"/>
      <c r="Q62" s="83"/>
      <c r="R62" s="56"/>
      <c r="BE62" s="98">
        <v>1</v>
      </c>
      <c r="BF62" s="99">
        <v>0</v>
      </c>
      <c r="BH62" s="93"/>
      <c r="BI62" s="90"/>
      <c r="BJ62" s="90"/>
      <c r="BK62" s="90"/>
      <c r="BL62" s="82"/>
      <c r="BM62" s="151"/>
      <c r="BN62" s="151"/>
      <c r="BO62" s="151"/>
      <c r="BP62" s="151"/>
      <c r="BQ62" s="151"/>
      <c r="BR62" s="404"/>
      <c r="BS62" s="405"/>
      <c r="BT62" s="82"/>
      <c r="BU62" s="406"/>
      <c r="BX62" s="392"/>
    </row>
    <row r="63" spans="2:111" ht="19" thickTop="1" thickBot="1">
      <c r="B63" s="107">
        <f>3/8</f>
        <v>0.375</v>
      </c>
      <c r="C63" s="114">
        <v>9.5</v>
      </c>
      <c r="D63" s="112">
        <f t="shared" si="0"/>
        <v>9500</v>
      </c>
      <c r="E63" s="113">
        <f t="shared" si="1"/>
        <v>61.656039240307337</v>
      </c>
      <c r="F63" s="85"/>
      <c r="G63" s="85"/>
      <c r="H63" s="25">
        <v>0.75</v>
      </c>
      <c r="I63" s="254" t="e">
        <f>B$78*'Tarantula Curve Mix Design'!#REF!+'Tarantula Curve Mix Design'!#REF!*C$78+D$78*'Tarantula Curve Mix Design'!#REF!</f>
        <v>#REF!</v>
      </c>
      <c r="J63" s="75" t="e">
        <f t="shared" ref="J63:J72" si="2">I62-I63</f>
        <v>#REF!</v>
      </c>
      <c r="K63" s="256" t="e">
        <f>J62+J63</f>
        <v>#REF!</v>
      </c>
      <c r="L63" s="118">
        <f>E60</f>
        <v>95.295634032720628</v>
      </c>
      <c r="M63" s="367">
        <v>1</v>
      </c>
      <c r="N63" s="93"/>
      <c r="O63" s="83"/>
      <c r="P63" s="82"/>
      <c r="Q63" s="83"/>
      <c r="R63" s="56"/>
      <c r="BE63" s="37">
        <v>10</v>
      </c>
      <c r="BF63" s="96">
        <v>0</v>
      </c>
      <c r="BH63" s="93"/>
      <c r="BI63" s="90"/>
      <c r="BJ63" s="90"/>
      <c r="BK63" s="90"/>
      <c r="BL63" s="82"/>
      <c r="BM63" s="151"/>
      <c r="BN63" s="151"/>
      <c r="BO63" s="151"/>
      <c r="BP63" s="151"/>
      <c r="BQ63" s="151"/>
      <c r="BR63" s="404"/>
      <c r="BS63" s="405"/>
      <c r="BT63" s="82"/>
      <c r="BU63" s="406"/>
      <c r="BX63" s="382"/>
      <c r="BY63" s="393"/>
      <c r="BZ63" s="393"/>
      <c r="CA63" s="394"/>
      <c r="CB63" s="385"/>
      <c r="CC63" s="395"/>
    </row>
    <row r="64" spans="2:111" ht="18">
      <c r="B64" s="108" t="s">
        <v>2</v>
      </c>
      <c r="C64" s="114">
        <v>4.75</v>
      </c>
      <c r="D64" s="112">
        <f t="shared" si="0"/>
        <v>4750</v>
      </c>
      <c r="E64" s="113">
        <f t="shared" si="1"/>
        <v>45.134862560198059</v>
      </c>
      <c r="F64" s="85"/>
      <c r="G64" s="85"/>
      <c r="H64" s="25">
        <v>0.5</v>
      </c>
      <c r="I64" s="254" t="e">
        <f>B$78*'Tarantula Curve Mix Design'!#REF!+'Tarantula Curve Mix Design'!#REF!*C$78+D$78*'Tarantula Curve Mix Design'!#REF!</f>
        <v>#REF!</v>
      </c>
      <c r="J64" s="75" t="e">
        <f t="shared" si="2"/>
        <v>#REF!</v>
      </c>
      <c r="K64" s="256" t="e">
        <f t="shared" ref="K64:K72" si="3">K63+J64</f>
        <v>#REF!</v>
      </c>
      <c r="L64" s="104">
        <v>0</v>
      </c>
      <c r="M64" s="367">
        <v>0</v>
      </c>
      <c r="N64" s="93"/>
      <c r="O64" s="83"/>
      <c r="P64" s="82"/>
      <c r="Q64" s="83"/>
      <c r="R64" s="56"/>
      <c r="BE64" s="55">
        <v>9</v>
      </c>
      <c r="BF64" s="97">
        <v>0.08</v>
      </c>
      <c r="BH64" s="93"/>
      <c r="BI64" s="90"/>
      <c r="BJ64" s="90"/>
      <c r="BK64" s="90"/>
      <c r="BL64" s="82"/>
      <c r="BM64" s="151"/>
      <c r="BN64" s="151"/>
      <c r="BO64" s="151"/>
      <c r="BP64" s="151"/>
      <c r="BQ64" s="151"/>
      <c r="BR64" s="404"/>
      <c r="BS64" s="405"/>
      <c r="BT64" s="82"/>
      <c r="BU64" s="406"/>
      <c r="BX64" s="396"/>
      <c r="BY64" s="397"/>
      <c r="BZ64" s="397"/>
      <c r="CA64" s="397"/>
      <c r="CB64" s="387"/>
      <c r="CC64" s="398"/>
    </row>
    <row r="65" spans="1:81" ht="17.5">
      <c r="B65" s="109" t="s">
        <v>5</v>
      </c>
      <c r="C65" s="114">
        <v>2.36</v>
      </c>
      <c r="D65" s="112">
        <f t="shared" si="0"/>
        <v>2360</v>
      </c>
      <c r="E65" s="113">
        <f t="shared" si="1"/>
        <v>32.946584684146316</v>
      </c>
      <c r="F65" s="85"/>
      <c r="G65" s="85"/>
      <c r="H65" s="10">
        <v>0.375</v>
      </c>
      <c r="I65" s="254" t="e">
        <f>B$78*'Tarantula Curve Mix Design'!#REF!+'Tarantula Curve Mix Design'!#REF!*C$78+D$78*'Tarantula Curve Mix Design'!#REF!</f>
        <v>#REF!</v>
      </c>
      <c r="J65" s="75" t="e">
        <f t="shared" si="2"/>
        <v>#REF!</v>
      </c>
      <c r="K65" s="257" t="e">
        <f t="shared" si="3"/>
        <v>#REF!</v>
      </c>
      <c r="N65" s="93"/>
      <c r="O65" s="83"/>
      <c r="P65" s="82"/>
      <c r="Q65" s="83"/>
      <c r="R65" s="56"/>
      <c r="BE65" s="55">
        <v>4</v>
      </c>
      <c r="BF65" s="97">
        <v>0.08</v>
      </c>
      <c r="BH65" s="93"/>
      <c r="BI65" s="90"/>
      <c r="BJ65" s="90"/>
      <c r="BK65" s="90"/>
      <c r="BL65" s="82"/>
      <c r="BM65" s="151"/>
      <c r="BN65" s="151"/>
      <c r="BO65" s="151"/>
      <c r="BP65" s="151"/>
      <c r="BQ65" s="151"/>
      <c r="BR65" s="404"/>
      <c r="BS65" s="405"/>
      <c r="BT65" s="82"/>
      <c r="BU65" s="406"/>
      <c r="BX65" s="388"/>
      <c r="BY65" s="399"/>
      <c r="BZ65" s="399"/>
      <c r="CA65" s="399"/>
      <c r="CB65" s="387"/>
      <c r="CC65" s="387"/>
    </row>
    <row r="66" spans="1:81" ht="17.5">
      <c r="B66" s="109" t="s">
        <v>7</v>
      </c>
      <c r="C66" s="114">
        <v>1.18</v>
      </c>
      <c r="D66" s="112">
        <f t="shared" si="0"/>
        <v>1180</v>
      </c>
      <c r="E66" s="113">
        <f t="shared" si="1"/>
        <v>24.11831168315992</v>
      </c>
      <c r="F66" s="85"/>
      <c r="G66" s="85"/>
      <c r="H66" s="26" t="s">
        <v>2</v>
      </c>
      <c r="I66" s="254" t="e">
        <f>B$78*'Tarantula Curve Mix Design'!#REF!+'Tarantula Curve Mix Design'!#REF!*C$78+D$78*'Tarantula Curve Mix Design'!#REF!</f>
        <v>#REF!</v>
      </c>
      <c r="J66" s="75" t="e">
        <f t="shared" si="2"/>
        <v>#REF!</v>
      </c>
      <c r="K66" s="256" t="e">
        <f t="shared" si="3"/>
        <v>#REF!</v>
      </c>
      <c r="L66" s="70" t="s">
        <v>48</v>
      </c>
      <c r="M66" s="368"/>
      <c r="N66" s="93"/>
      <c r="O66" s="83"/>
      <c r="P66" s="82"/>
      <c r="Q66" s="83"/>
      <c r="R66" s="56"/>
      <c r="BE66" s="98">
        <v>3</v>
      </c>
      <c r="BF66" s="99">
        <v>0</v>
      </c>
      <c r="BH66" s="93"/>
      <c r="BI66" s="90"/>
      <c r="BJ66" s="90"/>
      <c r="BK66" s="90"/>
      <c r="BL66" s="82"/>
      <c r="BM66" s="151"/>
      <c r="BN66" s="151"/>
      <c r="BO66" s="151"/>
      <c r="BP66" s="151"/>
      <c r="BQ66" s="151"/>
      <c r="BR66" s="404"/>
      <c r="BS66" s="405"/>
      <c r="BT66" s="82"/>
      <c r="BU66" s="406"/>
      <c r="BX66" s="388"/>
      <c r="BY66" s="399"/>
      <c r="BZ66" s="399"/>
      <c r="CA66" s="399"/>
      <c r="CB66" s="387"/>
      <c r="CC66" s="387"/>
    </row>
    <row r="67" spans="1:81" ht="17.5">
      <c r="B67" s="109" t="s">
        <v>8</v>
      </c>
      <c r="C67" s="114">
        <v>0.6</v>
      </c>
      <c r="D67" s="112">
        <f t="shared" si="0"/>
        <v>600</v>
      </c>
      <c r="E67" s="113">
        <f t="shared" si="1"/>
        <v>17.789676992918196</v>
      </c>
      <c r="F67" s="85"/>
      <c r="G67" s="85"/>
      <c r="H67" s="27" t="s">
        <v>5</v>
      </c>
      <c r="I67" s="258" t="e">
        <f>B$78*'Tarantula Curve Mix Design'!#REF!+'Tarantula Curve Mix Design'!#REF!*C$78+D$78*'Tarantula Curve Mix Design'!#REF!</f>
        <v>#REF!</v>
      </c>
      <c r="J67" s="75" t="e">
        <f t="shared" si="2"/>
        <v>#REF!</v>
      </c>
      <c r="K67" s="257" t="e">
        <f>K66+J67</f>
        <v>#REF!</v>
      </c>
      <c r="L67" s="10">
        <f>L64</f>
        <v>0</v>
      </c>
      <c r="M67" s="369">
        <f>M64</f>
        <v>0</v>
      </c>
      <c r="N67" s="93"/>
      <c r="O67" s="83"/>
      <c r="P67" s="82"/>
      <c r="Q67" s="83"/>
      <c r="R67" s="56"/>
      <c r="AU67" s="56"/>
      <c r="AV67" s="56"/>
      <c r="AW67" s="56"/>
      <c r="AX67" s="56"/>
      <c r="AY67" s="56"/>
      <c r="AZ67" s="56"/>
      <c r="BX67" s="388"/>
      <c r="BY67" s="399"/>
      <c r="BZ67" s="399"/>
      <c r="CA67" s="399"/>
      <c r="CB67" s="387"/>
      <c r="CC67" s="387"/>
    </row>
    <row r="68" spans="1:81" ht="17.5">
      <c r="B68" s="109" t="s">
        <v>9</v>
      </c>
      <c r="C68" s="114">
        <v>0.3</v>
      </c>
      <c r="D68" s="112">
        <f t="shared" si="0"/>
        <v>300</v>
      </c>
      <c r="E68" s="113">
        <f t="shared" si="1"/>
        <v>13.02280581041226</v>
      </c>
      <c r="F68" s="85"/>
      <c r="G68" s="85"/>
      <c r="H68" s="27" t="s">
        <v>7</v>
      </c>
      <c r="I68" s="254" t="e">
        <f>B$78*'Tarantula Curve Mix Design'!C45+'Tarantula Curve Mix Design'!#REF!*C$78+D$78*'Tarantula Curve Mix Design'!#REF!</f>
        <v>#DIV/0!</v>
      </c>
      <c r="J68" s="75" t="e">
        <f t="shared" si="2"/>
        <v>#REF!</v>
      </c>
      <c r="K68" s="256" t="e">
        <f t="shared" si="3"/>
        <v>#REF!</v>
      </c>
      <c r="L68" s="120">
        <f>E61</f>
        <v>84.224631674288489</v>
      </c>
      <c r="M68" s="369">
        <f>M63</f>
        <v>1</v>
      </c>
      <c r="N68" s="93"/>
      <c r="O68" s="83"/>
      <c r="P68" s="82"/>
      <c r="Q68" s="83"/>
      <c r="R68" s="56"/>
      <c r="AU68" s="56"/>
      <c r="AV68" s="56"/>
      <c r="AW68" s="56"/>
      <c r="AX68" s="56"/>
      <c r="AY68" s="56"/>
      <c r="AZ68" s="56"/>
      <c r="BX68" s="388"/>
      <c r="BY68" s="399"/>
      <c r="BZ68" s="399"/>
      <c r="CA68" s="399"/>
      <c r="CB68" s="387"/>
      <c r="CC68" s="387"/>
    </row>
    <row r="69" spans="1:81" ht="17.5">
      <c r="B69" s="109" t="s">
        <v>10</v>
      </c>
      <c r="C69" s="114">
        <v>0.15</v>
      </c>
      <c r="D69" s="112">
        <f t="shared" si="0"/>
        <v>150</v>
      </c>
      <c r="E69" s="113">
        <f t="shared" si="1"/>
        <v>9.533251854051084</v>
      </c>
      <c r="F69" s="85"/>
      <c r="G69" s="85"/>
      <c r="H69" s="27" t="s">
        <v>8</v>
      </c>
      <c r="I69" s="254" t="e">
        <f>B$78*'Tarantula Curve Mix Design'!C46+'Tarantula Curve Mix Design'!#REF!*C$78+D$78*'Tarantula Curve Mix Design'!#REF!</f>
        <v>#DIV/0!</v>
      </c>
      <c r="J69" s="75" t="e">
        <f t="shared" si="2"/>
        <v>#DIV/0!</v>
      </c>
      <c r="K69" s="75" t="e">
        <f t="shared" si="3"/>
        <v>#REF!</v>
      </c>
      <c r="N69" s="93"/>
      <c r="O69" s="83"/>
      <c r="P69" s="82"/>
      <c r="Q69" s="83"/>
      <c r="R69" s="56"/>
      <c r="AU69" s="56"/>
      <c r="AV69" s="93"/>
      <c r="AW69" s="56"/>
      <c r="AX69" s="93"/>
      <c r="AY69" s="56"/>
      <c r="AZ69" s="56"/>
      <c r="BX69" s="388"/>
      <c r="BY69" s="399"/>
      <c r="BZ69" s="399"/>
      <c r="CA69" s="399"/>
      <c r="CB69" s="387"/>
      <c r="CC69" s="387"/>
    </row>
    <row r="70" spans="1:81" ht="18" thickBot="1">
      <c r="B70" s="110" t="s">
        <v>12</v>
      </c>
      <c r="C70" s="116">
        <v>7.4999999999999997E-2</v>
      </c>
      <c r="D70" s="116">
        <f t="shared" si="0"/>
        <v>75</v>
      </c>
      <c r="E70" s="115">
        <f t="shared" si="1"/>
        <v>6.9787488376816533</v>
      </c>
      <c r="F70" s="85"/>
      <c r="G70" s="85"/>
      <c r="H70" s="27" t="s">
        <v>9</v>
      </c>
      <c r="I70" s="254" t="e">
        <f>B$78*'Tarantula Curve Mix Design'!C47+'Tarantula Curve Mix Design'!#REF!*C$78+D$78*'Tarantula Curve Mix Design'!#REF!</f>
        <v>#DIV/0!</v>
      </c>
      <c r="J70" s="75" t="e">
        <f t="shared" si="2"/>
        <v>#DIV/0!</v>
      </c>
      <c r="K70" s="75" t="e">
        <f t="shared" si="3"/>
        <v>#REF!</v>
      </c>
      <c r="L70" s="70" t="s">
        <v>49</v>
      </c>
      <c r="M70" s="368"/>
      <c r="N70" s="93"/>
      <c r="O70" s="83"/>
      <c r="P70" s="82"/>
      <c r="Q70" s="83"/>
      <c r="R70" s="56"/>
      <c r="AU70" s="56"/>
      <c r="AV70" s="93"/>
      <c r="AW70" s="90"/>
      <c r="AX70" s="90"/>
      <c r="AY70" s="56"/>
      <c r="AZ70" s="56"/>
      <c r="BI70" s="188" t="s">
        <v>67</v>
      </c>
      <c r="BJ70" s="189" t="s">
        <v>68</v>
      </c>
      <c r="BK70" s="190" t="s">
        <v>69</v>
      </c>
      <c r="BL70" s="191"/>
      <c r="BM70" s="192"/>
      <c r="BN70" s="193" t="s">
        <v>70</v>
      </c>
      <c r="BO70" s="194"/>
      <c r="BX70" s="400"/>
      <c r="BY70" s="401"/>
      <c r="BZ70" s="401"/>
      <c r="CA70" s="401"/>
      <c r="CB70" s="387"/>
      <c r="CC70" s="387"/>
    </row>
    <row r="71" spans="1:81" ht="15" thickTop="1">
      <c r="F71" s="85"/>
      <c r="G71" s="85"/>
      <c r="H71" s="27" t="s">
        <v>10</v>
      </c>
      <c r="I71" s="254" t="e">
        <f>B$78*'Tarantula Curve Mix Design'!C48+'Tarantula Curve Mix Design'!#REF!*C$78+D$78*'Tarantula Curve Mix Design'!#REF!</f>
        <v>#DIV/0!</v>
      </c>
      <c r="J71" s="75" t="e">
        <f t="shared" si="2"/>
        <v>#DIV/0!</v>
      </c>
      <c r="K71" s="75" t="e">
        <f t="shared" si="3"/>
        <v>#REF!</v>
      </c>
      <c r="L71" s="10">
        <f>L67</f>
        <v>0</v>
      </c>
      <c r="M71" s="119">
        <f>M67</f>
        <v>0</v>
      </c>
      <c r="AU71" s="56"/>
      <c r="AV71" s="93"/>
      <c r="AW71" s="90"/>
      <c r="AX71" s="90"/>
      <c r="AY71" s="56"/>
      <c r="AZ71" s="56"/>
      <c r="BI71" s="195" t="s">
        <v>71</v>
      </c>
      <c r="BJ71" s="196" t="s">
        <v>72</v>
      </c>
      <c r="BK71" s="196" t="s">
        <v>14</v>
      </c>
      <c r="BL71" s="196" t="s">
        <v>4</v>
      </c>
      <c r="BM71" s="196" t="s">
        <v>73</v>
      </c>
      <c r="BN71" s="196" t="s">
        <v>74</v>
      </c>
      <c r="BO71" s="196" t="s">
        <v>75</v>
      </c>
    </row>
    <row r="72" spans="1:81">
      <c r="F72" s="85"/>
      <c r="G72" s="85"/>
      <c r="H72" s="27" t="s">
        <v>12</v>
      </c>
      <c r="I72" s="254" t="e">
        <f>B$78*'Tarantula Curve Mix Design'!#REF!+'Tarantula Curve Mix Design'!#REF!*C$78+D$78*'Tarantula Curve Mix Design'!#REF!</f>
        <v>#REF!</v>
      </c>
      <c r="J72" s="75" t="e">
        <f t="shared" si="2"/>
        <v>#DIV/0!</v>
      </c>
      <c r="K72" s="171" t="e">
        <f t="shared" si="3"/>
        <v>#REF!</v>
      </c>
      <c r="L72" s="120">
        <f>E59</f>
        <v>114.37051336098466</v>
      </c>
      <c r="M72" s="119">
        <f>M68</f>
        <v>1</v>
      </c>
      <c r="AU72" s="56"/>
      <c r="AV72" s="93"/>
      <c r="AW72" s="90"/>
      <c r="AX72" s="90"/>
      <c r="AY72" s="56"/>
      <c r="AZ72" s="56"/>
      <c r="BI72" s="197">
        <v>1</v>
      </c>
      <c r="BJ72" s="197" t="s">
        <v>76</v>
      </c>
      <c r="BK72" s="198">
        <v>0.75</v>
      </c>
      <c r="BL72" s="198">
        <v>0.25</v>
      </c>
      <c r="BM72" s="198">
        <v>0</v>
      </c>
      <c r="BN72" s="198">
        <v>108.02666666666669</v>
      </c>
      <c r="BO72" s="199">
        <v>7.6635979978430724</v>
      </c>
    </row>
    <row r="73" spans="1:81">
      <c r="A73" s="10" t="s">
        <v>20</v>
      </c>
      <c r="B73" s="5" t="s">
        <v>17</v>
      </c>
      <c r="C73" s="5" t="s">
        <v>4</v>
      </c>
      <c r="D73" s="5" t="s">
        <v>18</v>
      </c>
      <c r="E73" s="8" t="s">
        <v>19</v>
      </c>
      <c r="F73" s="85"/>
      <c r="G73" s="85"/>
      <c r="AU73" s="56"/>
      <c r="AV73" s="93"/>
      <c r="AW73" s="90"/>
      <c r="AX73" s="90"/>
      <c r="AY73" s="56"/>
      <c r="AZ73" s="56"/>
      <c r="BI73" s="200">
        <v>5</v>
      </c>
      <c r="BJ73" s="200" t="s">
        <v>76</v>
      </c>
      <c r="BK73" s="201">
        <v>0.73529411764705888</v>
      </c>
      <c r="BL73" s="201">
        <v>0.26470588235294112</v>
      </c>
      <c r="BM73" s="201">
        <v>0</v>
      </c>
      <c r="BN73" s="201">
        <v>107.2</v>
      </c>
      <c r="BO73" s="202">
        <v>7.807658637241885</v>
      </c>
    </row>
    <row r="74" spans="1:81">
      <c r="A74" s="16">
        <v>2</v>
      </c>
      <c r="B74" s="172">
        <f>B81</f>
        <v>1763.9584874851973</v>
      </c>
      <c r="C74" s="172">
        <f>C81</f>
        <v>95.270378980760867</v>
      </c>
      <c r="D74" s="172">
        <f>D81</f>
        <v>1420.7974934807066</v>
      </c>
      <c r="E74" s="10">
        <f>SUM(B74:D74)</f>
        <v>3280.0263599466648</v>
      </c>
      <c r="N74" s="13"/>
      <c r="AU74" s="56"/>
      <c r="AV74" s="93"/>
      <c r="AW74" s="90"/>
      <c r="AX74" s="90"/>
      <c r="AY74" s="56"/>
      <c r="AZ74" s="56"/>
      <c r="BI74" s="200">
        <v>6</v>
      </c>
      <c r="BJ74" s="200" t="s">
        <v>76</v>
      </c>
      <c r="BK74" s="201">
        <v>0.65789473684210531</v>
      </c>
      <c r="BL74" s="201">
        <v>0.34210526315789475</v>
      </c>
      <c r="BM74" s="201">
        <v>0</v>
      </c>
      <c r="BN74" s="201">
        <v>106.38666666666667</v>
      </c>
      <c r="BO74" s="202">
        <v>8.5658725288145874</v>
      </c>
    </row>
    <row r="75" spans="1:81">
      <c r="H75" s="12">
        <v>1769.101005805634</v>
      </c>
      <c r="I75" s="12">
        <v>506.79318297778093</v>
      </c>
      <c r="J75" s="12">
        <v>1085.8139319553102</v>
      </c>
      <c r="N75" s="14"/>
      <c r="AF75" s="89" t="s">
        <v>42</v>
      </c>
      <c r="AG75" s="16" t="s">
        <v>28</v>
      </c>
      <c r="AH75" s="12"/>
      <c r="AJ75" s="10" t="s">
        <v>20</v>
      </c>
      <c r="AK75" s="34" t="s">
        <v>33</v>
      </c>
      <c r="AL75" s="34" t="s">
        <v>34</v>
      </c>
      <c r="AN75" s="93"/>
      <c r="AO75" s="93"/>
      <c r="AU75" s="56"/>
      <c r="AV75" s="93"/>
      <c r="AW75" s="90"/>
      <c r="AX75" s="90"/>
      <c r="AY75" s="56"/>
      <c r="AZ75" s="56"/>
      <c r="BI75" s="200">
        <v>7</v>
      </c>
      <c r="BJ75" s="200" t="s">
        <v>76</v>
      </c>
      <c r="BK75" s="201">
        <v>0.80645161290322587</v>
      </c>
      <c r="BL75" s="201">
        <v>0.19354838709677419</v>
      </c>
      <c r="BM75" s="201">
        <v>0</v>
      </c>
      <c r="BN75" s="201">
        <v>105.45333333333333</v>
      </c>
      <c r="BO75" s="202">
        <v>7.110591027247632</v>
      </c>
    </row>
    <row r="76" spans="1:81">
      <c r="B76" s="17" t="s">
        <v>24</v>
      </c>
      <c r="C76" s="18"/>
      <c r="D76" s="19"/>
      <c r="F76" s="60">
        <v>0.48979096777502334</v>
      </c>
      <c r="G76" s="60"/>
      <c r="H76" s="172">
        <v>2132.267249349793</v>
      </c>
      <c r="I76" s="172">
        <v>6.306409804893919</v>
      </c>
      <c r="J76" s="172">
        <v>1227.0722332265495</v>
      </c>
      <c r="N76" s="14"/>
      <c r="AF76" s="16" t="s">
        <v>31</v>
      </c>
      <c r="AG76" s="143" t="e">
        <f>K65/K67</f>
        <v>#REF!</v>
      </c>
      <c r="AH76" s="12"/>
      <c r="AJ76" s="16">
        <v>2</v>
      </c>
      <c r="AK76" s="137">
        <v>392</v>
      </c>
      <c r="AL76" s="138">
        <v>78</v>
      </c>
      <c r="AN76" s="239"/>
      <c r="AO76" s="93"/>
      <c r="AU76" s="56"/>
      <c r="AV76" s="93"/>
      <c r="AW76" s="90"/>
      <c r="AX76" s="90"/>
      <c r="AY76" s="56"/>
      <c r="AZ76" s="56"/>
      <c r="BI76" s="200">
        <v>8</v>
      </c>
      <c r="BJ76" s="200" t="s">
        <v>76</v>
      </c>
      <c r="BK76" s="201">
        <v>0.87719298245614041</v>
      </c>
      <c r="BL76" s="201">
        <v>0.12280701754385967</v>
      </c>
      <c r="BM76" s="201">
        <v>0</v>
      </c>
      <c r="BN76" s="201">
        <v>104.04</v>
      </c>
      <c r="BO76" s="202">
        <v>6.4175998360252713</v>
      </c>
    </row>
    <row r="77" spans="1:81">
      <c r="B77" s="8" t="s">
        <v>14</v>
      </c>
      <c r="C77" s="5" t="s">
        <v>4</v>
      </c>
      <c r="D77" s="5" t="s">
        <v>18</v>
      </c>
      <c r="F77" s="60">
        <v>0.13521912537420402</v>
      </c>
      <c r="G77" s="60"/>
      <c r="I77" s="172">
        <v>6.2164839970423236</v>
      </c>
      <c r="J77" s="172">
        <v>1255.6498250057255</v>
      </c>
      <c r="N77" s="1"/>
      <c r="AF77" s="16" t="s">
        <v>32</v>
      </c>
      <c r="AG77" s="143" t="e">
        <f>(I67*100+2.5*((AK76+AL76)-564)/94)/100</f>
        <v>#REF!</v>
      </c>
      <c r="AH77" s="12"/>
      <c r="AU77" s="56"/>
      <c r="AV77" s="93"/>
      <c r="AW77" s="90"/>
      <c r="AX77" s="90"/>
      <c r="AY77" s="56"/>
      <c r="AZ77" s="56"/>
      <c r="BI77" s="200">
        <v>9</v>
      </c>
      <c r="BJ77" s="200" t="s">
        <v>76</v>
      </c>
      <c r="BK77" s="201">
        <v>0.75187969924812026</v>
      </c>
      <c r="BL77" s="201">
        <v>0.24812030075187969</v>
      </c>
      <c r="BM77" s="201">
        <v>0</v>
      </c>
      <c r="BN77" s="201">
        <v>108.66666666666667</v>
      </c>
      <c r="BO77" s="202">
        <v>7.6451842319048797</v>
      </c>
    </row>
    <row r="78" spans="1:81">
      <c r="B78" s="227">
        <f>B74/E74</f>
        <v>0.53778789982464659</v>
      </c>
      <c r="C78" s="227">
        <f>C74/E74</f>
        <v>2.9045613823149283E-2</v>
      </c>
      <c r="D78" s="227">
        <f>D74/E74</f>
        <v>0.43316648635220412</v>
      </c>
      <c r="E78" s="173">
        <f>SUM(B78:D78)</f>
        <v>1</v>
      </c>
      <c r="F78" s="60">
        <v>0.37781723640536363</v>
      </c>
      <c r="G78" s="60"/>
      <c r="N78" s="1"/>
      <c r="AU78" s="56"/>
      <c r="AV78" s="93"/>
      <c r="AW78" s="90"/>
      <c r="AX78" s="90"/>
      <c r="AY78" s="56"/>
      <c r="AZ78" s="56"/>
      <c r="BI78" s="200">
        <v>10</v>
      </c>
      <c r="BJ78" s="200" t="s">
        <v>76</v>
      </c>
      <c r="BK78" s="201">
        <v>0.7246376811594204</v>
      </c>
      <c r="BL78" s="201">
        <v>0.27536231884057971</v>
      </c>
      <c r="BM78" s="201">
        <v>0</v>
      </c>
      <c r="BN78" s="201">
        <v>109.06666666666668</v>
      </c>
      <c r="BO78" s="202">
        <v>7.9120504049221863</v>
      </c>
    </row>
    <row r="79" spans="1:81">
      <c r="H79" s="172">
        <v>1166.6062049678781</v>
      </c>
      <c r="I79" s="172">
        <v>857.42869339389392</v>
      </c>
      <c r="J79" s="172">
        <v>1263.9572177672601</v>
      </c>
      <c r="N79" s="12"/>
      <c r="AU79" s="56"/>
      <c r="AV79" s="93"/>
      <c r="AW79" s="90"/>
      <c r="AX79" s="90"/>
      <c r="AY79" s="56"/>
      <c r="AZ79" s="56"/>
      <c r="BI79" s="200">
        <v>11</v>
      </c>
      <c r="BJ79" s="200" t="s">
        <v>76</v>
      </c>
      <c r="BK79" s="201">
        <v>0.69930069930069938</v>
      </c>
      <c r="BL79" s="201">
        <v>0.30069930069930073</v>
      </c>
      <c r="BM79" s="201">
        <v>0</v>
      </c>
      <c r="BN79" s="201">
        <v>108.96</v>
      </c>
      <c r="BO79" s="202">
        <v>8.1602546077984215</v>
      </c>
    </row>
    <row r="80" spans="1:81">
      <c r="H80" s="172">
        <v>1160.3832995847033</v>
      </c>
      <c r="I80" s="172">
        <v>833.21863251900015</v>
      </c>
      <c r="J80" s="172">
        <v>1385.5830953156512</v>
      </c>
      <c r="N80" s="2"/>
      <c r="AU80" s="56"/>
      <c r="AV80" s="93"/>
      <c r="AW80" s="90"/>
      <c r="AX80" s="90"/>
      <c r="AY80" s="56"/>
      <c r="AZ80" s="56"/>
      <c r="BI80" s="200">
        <v>12</v>
      </c>
      <c r="BJ80" s="200" t="s">
        <v>76</v>
      </c>
      <c r="BK80" s="201">
        <v>0.67567567567567566</v>
      </c>
      <c r="BL80" s="201">
        <v>0.32432432432432434</v>
      </c>
      <c r="BM80" s="201">
        <v>0</v>
      </c>
      <c r="BN80" s="201">
        <v>110.45333333333333</v>
      </c>
      <c r="BO80" s="202">
        <v>8.3916882564262636</v>
      </c>
    </row>
    <row r="81" spans="1:81">
      <c r="B81" s="172">
        <v>1763.9584874851973</v>
      </c>
      <c r="C81" s="172">
        <v>95.270378980760867</v>
      </c>
      <c r="D81" s="172">
        <v>1420.7974934807066</v>
      </c>
      <c r="N81" s="59"/>
      <c r="AU81" s="56"/>
      <c r="AV81" s="93"/>
      <c r="AW81" s="90"/>
      <c r="AX81" s="90"/>
      <c r="AY81" s="56"/>
      <c r="AZ81" s="56"/>
      <c r="BI81" s="200">
        <v>13</v>
      </c>
      <c r="BJ81" s="200" t="s">
        <v>76</v>
      </c>
      <c r="BK81" s="201">
        <v>0.65359477124183007</v>
      </c>
      <c r="BL81" s="201">
        <v>0.34640522875816993</v>
      </c>
      <c r="BM81" s="201">
        <v>0</v>
      </c>
      <c r="BN81" s="201">
        <v>110.53333333333335</v>
      </c>
      <c r="BO81" s="202">
        <v>8.6079955227908496</v>
      </c>
    </row>
    <row r="82" spans="1:81">
      <c r="N82" s="59"/>
      <c r="AC82" s="12"/>
      <c r="AU82" s="56"/>
      <c r="AV82" s="93"/>
      <c r="AW82" s="90"/>
      <c r="AX82" s="90"/>
      <c r="AY82" s="56"/>
      <c r="AZ82" s="56"/>
      <c r="BI82" s="200">
        <v>14</v>
      </c>
      <c r="BJ82" s="200" t="s">
        <v>76</v>
      </c>
      <c r="BK82" s="201">
        <v>0.75187969924812026</v>
      </c>
      <c r="BL82" s="201">
        <v>0.24812030075187969</v>
      </c>
      <c r="BM82" s="201">
        <v>0</v>
      </c>
      <c r="BN82" s="201">
        <v>108.58666666666666</v>
      </c>
      <c r="BO82" s="202">
        <v>7.6451842319048797</v>
      </c>
    </row>
    <row r="83" spans="1:81">
      <c r="N83" s="59"/>
      <c r="Z83" s="12"/>
      <c r="AA83" s="12"/>
      <c r="AB83" s="12"/>
      <c r="AC83" s="12"/>
      <c r="AD83" s="12"/>
      <c r="AU83" s="56"/>
      <c r="AV83" s="93"/>
      <c r="AW83" s="90"/>
      <c r="AX83" s="90"/>
      <c r="AY83" s="56"/>
      <c r="AZ83" s="56"/>
      <c r="BI83" s="200">
        <v>15</v>
      </c>
      <c r="BJ83" s="200" t="s">
        <v>76</v>
      </c>
      <c r="BK83" s="201">
        <v>0.7246376811594204</v>
      </c>
      <c r="BL83" s="201">
        <v>0.27536231884057971</v>
      </c>
      <c r="BM83" s="201">
        <v>0</v>
      </c>
      <c r="BN83" s="201">
        <v>112.05333333333334</v>
      </c>
      <c r="BO83" s="202">
        <v>7.9120504049221863</v>
      </c>
    </row>
    <row r="84" spans="1:81">
      <c r="N84" s="59"/>
      <c r="AU84" s="56"/>
      <c r="AV84" s="93"/>
      <c r="AW84" s="90"/>
      <c r="AX84" s="90"/>
      <c r="AY84" s="56"/>
      <c r="AZ84" s="56"/>
      <c r="BI84" s="200">
        <v>16</v>
      </c>
      <c r="BJ84" s="200" t="s">
        <v>76</v>
      </c>
      <c r="BK84" s="201">
        <v>0.69930069930069938</v>
      </c>
      <c r="BL84" s="201">
        <v>0.30069930069930073</v>
      </c>
      <c r="BM84" s="201">
        <v>0</v>
      </c>
      <c r="BN84" s="201">
        <v>110.69333333333334</v>
      </c>
      <c r="BO84" s="202">
        <v>8.1602546077984215</v>
      </c>
    </row>
    <row r="85" spans="1:81">
      <c r="A85" s="10" t="s">
        <v>20</v>
      </c>
      <c r="B85" s="5" t="s">
        <v>17</v>
      </c>
      <c r="C85" s="5" t="s">
        <v>4</v>
      </c>
      <c r="D85" s="5" t="s">
        <v>18</v>
      </c>
      <c r="E85" s="8" t="s">
        <v>19</v>
      </c>
      <c r="H85" s="28"/>
      <c r="I85" s="9"/>
      <c r="J85" s="32" t="s">
        <v>36</v>
      </c>
      <c r="K85" s="20"/>
      <c r="N85" s="59"/>
      <c r="AU85" s="56"/>
      <c r="AV85" s="93"/>
      <c r="AW85" s="90"/>
      <c r="AX85" s="90"/>
      <c r="AY85" s="56"/>
      <c r="AZ85" s="56"/>
      <c r="BI85" s="200">
        <v>17</v>
      </c>
      <c r="BJ85" s="200" t="s">
        <v>76</v>
      </c>
      <c r="BK85" s="201">
        <v>0.67567567567567566</v>
      </c>
      <c r="BL85" s="201">
        <v>0.32432432432432434</v>
      </c>
      <c r="BM85" s="201">
        <v>0</v>
      </c>
      <c r="BN85" s="201">
        <v>112.08</v>
      </c>
      <c r="BO85" s="202">
        <v>8.3916882564262636</v>
      </c>
    </row>
    <row r="86" spans="1:81" ht="27">
      <c r="A86" s="16">
        <v>7</v>
      </c>
      <c r="B86" s="7">
        <v>1503</v>
      </c>
      <c r="C86" s="7">
        <v>560</v>
      </c>
      <c r="D86" s="7">
        <v>1271</v>
      </c>
      <c r="E86" s="10">
        <f>B86+C86+D86</f>
        <v>3334</v>
      </c>
      <c r="H86" s="11" t="s">
        <v>16</v>
      </c>
      <c r="I86" s="29" t="s">
        <v>26</v>
      </c>
      <c r="J86" s="29" t="s">
        <v>27</v>
      </c>
      <c r="K86" s="31" t="s">
        <v>29</v>
      </c>
      <c r="N86" s="59"/>
      <c r="AU86" s="56"/>
      <c r="AV86" s="93"/>
      <c r="AW86" s="90"/>
      <c r="AX86" s="90"/>
      <c r="AY86" s="56"/>
      <c r="AZ86" s="56"/>
      <c r="BI86" s="200">
        <v>18</v>
      </c>
      <c r="BJ86" s="200" t="s">
        <v>76</v>
      </c>
      <c r="BK86" s="201">
        <v>0.65359477124183007</v>
      </c>
      <c r="BL86" s="201">
        <v>0.34640522875816993</v>
      </c>
      <c r="BM86" s="201">
        <v>0</v>
      </c>
      <c r="BN86" s="201">
        <v>111.44000000000001</v>
      </c>
      <c r="BO86" s="202">
        <v>8.6079955227908496</v>
      </c>
    </row>
    <row r="87" spans="1:81">
      <c r="H87" s="24">
        <v>1.5</v>
      </c>
      <c r="I87" s="101" t="e">
        <f>B$90*'Tarantula Curve Mix Design'!#REF!+'Tarantula Curve Mix Design'!#REF!*C$90+D$90*'Tarantula Curve Mix Design'!#REF!</f>
        <v>#REF!</v>
      </c>
      <c r="J87" s="102" t="e">
        <f>1-I87</f>
        <v>#REF!</v>
      </c>
      <c r="K87" s="68" t="e">
        <f>J87</f>
        <v>#REF!</v>
      </c>
      <c r="AU87" s="56"/>
      <c r="AV87" s="93"/>
      <c r="AW87" s="90"/>
      <c r="AX87" s="90"/>
      <c r="AY87" s="56"/>
      <c r="AZ87" s="56"/>
      <c r="BI87" s="200">
        <v>20</v>
      </c>
      <c r="BJ87" s="200" t="s">
        <v>76</v>
      </c>
      <c r="BK87" s="203">
        <v>0.86</v>
      </c>
      <c r="BL87" s="203">
        <v>0.14000000000000001</v>
      </c>
      <c r="BM87" s="201">
        <v>0</v>
      </c>
      <c r="BN87" s="201">
        <v>106.61333333333334</v>
      </c>
      <c r="BO87" s="202">
        <v>6.5860244151399527</v>
      </c>
    </row>
    <row r="88" spans="1:81">
      <c r="B88" s="17" t="s">
        <v>24</v>
      </c>
      <c r="C88" s="18"/>
      <c r="D88" s="19"/>
      <c r="H88" s="24">
        <v>1</v>
      </c>
      <c r="I88" s="101" t="e">
        <f>B$90*'Tarantula Curve Mix Design'!#REF!+'Tarantula Curve Mix Design'!#REF!*C$90+D$90*'Tarantula Curve Mix Design'!#REF!</f>
        <v>#REF!</v>
      </c>
      <c r="J88" s="74" t="e">
        <f>I87-I88</f>
        <v>#REF!</v>
      </c>
      <c r="K88" s="69" t="e">
        <f>J87+J88</f>
        <v>#REF!</v>
      </c>
      <c r="L88" s="36"/>
      <c r="BI88" s="200">
        <v>21</v>
      </c>
      <c r="BJ88" s="200" t="s">
        <v>76</v>
      </c>
      <c r="BK88" s="204">
        <v>0.76</v>
      </c>
      <c r="BL88" s="205">
        <v>0.24</v>
      </c>
      <c r="BM88" s="201">
        <v>0</v>
      </c>
      <c r="BN88" s="201">
        <v>108</v>
      </c>
      <c r="BO88" s="202">
        <v>7.5656367630518817</v>
      </c>
    </row>
    <row r="89" spans="1:81">
      <c r="B89" s="8" t="s">
        <v>14</v>
      </c>
      <c r="C89" s="5" t="s">
        <v>4</v>
      </c>
      <c r="D89" s="5" t="s">
        <v>18</v>
      </c>
      <c r="H89" s="25">
        <v>0.75</v>
      </c>
      <c r="I89" s="101" t="e">
        <f>B$90*'Tarantula Curve Mix Design'!#REF!+'Tarantula Curve Mix Design'!#REF!*C$90+D$90*'Tarantula Curve Mix Design'!#REF!</f>
        <v>#REF!</v>
      </c>
      <c r="J89" s="74" t="e">
        <f t="shared" ref="J89:J98" si="4">I88-I89</f>
        <v>#REF!</v>
      </c>
      <c r="K89" s="69" t="e">
        <f>J88+J89</f>
        <v>#REF!</v>
      </c>
      <c r="L89" s="36"/>
      <c r="BI89" s="200">
        <v>22</v>
      </c>
      <c r="BJ89" s="200" t="s">
        <v>76</v>
      </c>
      <c r="BK89" s="201">
        <v>0.66999999999999993</v>
      </c>
      <c r="BL89" s="201">
        <v>0.33</v>
      </c>
      <c r="BM89" s="201">
        <v>0</v>
      </c>
      <c r="BN89" s="201">
        <v>110.45333333333333</v>
      </c>
      <c r="BO89" s="202">
        <v>8.4472878761726164</v>
      </c>
    </row>
    <row r="90" spans="1:81">
      <c r="B90" s="88">
        <f>B86/E86</f>
        <v>0.4508098380323935</v>
      </c>
      <c r="C90" s="88">
        <f>C86/E86</f>
        <v>0.16796640671865626</v>
      </c>
      <c r="D90" s="88">
        <f>D86/E86</f>
        <v>0.38122375524895019</v>
      </c>
      <c r="H90" s="25">
        <v>0.5</v>
      </c>
      <c r="I90" s="101" t="e">
        <f>B$90*'Tarantula Curve Mix Design'!#REF!+'Tarantula Curve Mix Design'!#REF!*C$90+D$90*'Tarantula Curve Mix Design'!#REF!</f>
        <v>#REF!</v>
      </c>
      <c r="J90" s="74" t="e">
        <f t="shared" si="4"/>
        <v>#REF!</v>
      </c>
      <c r="K90" s="69" t="e">
        <f>K89+J90</f>
        <v>#REF!</v>
      </c>
      <c r="L90" s="36"/>
      <c r="BI90" s="200">
        <v>23</v>
      </c>
      <c r="BJ90" s="200" t="s">
        <v>76</v>
      </c>
      <c r="BK90" s="201">
        <v>0.64</v>
      </c>
      <c r="BL90" s="201">
        <v>0.36</v>
      </c>
      <c r="BM90" s="201">
        <v>0</v>
      </c>
      <c r="BN90" s="201">
        <v>108.93333333333334</v>
      </c>
      <c r="BO90" s="202">
        <v>8.741171580546192</v>
      </c>
    </row>
    <row r="91" spans="1:81">
      <c r="H91" s="10">
        <v>0.375</v>
      </c>
      <c r="I91" s="101" t="e">
        <f>B$90*'Tarantula Curve Mix Design'!#REF!+'Tarantula Curve Mix Design'!#REF!*C$90+D$90*'Tarantula Curve Mix Design'!#REF!</f>
        <v>#REF!</v>
      </c>
      <c r="J91" s="74" t="e">
        <f t="shared" si="4"/>
        <v>#REF!</v>
      </c>
      <c r="K91" s="100" t="e">
        <f t="shared" ref="K91:K98" si="5">K90+J91</f>
        <v>#REF!</v>
      </c>
      <c r="L91" s="36"/>
      <c r="BI91" s="200">
        <v>24</v>
      </c>
      <c r="BJ91" s="200" t="s">
        <v>76</v>
      </c>
      <c r="BK91" s="201">
        <v>0.62</v>
      </c>
      <c r="BL91" s="201">
        <v>0.38</v>
      </c>
      <c r="BM91" s="201">
        <v>0</v>
      </c>
      <c r="BN91" s="201">
        <v>108.32000000000001</v>
      </c>
      <c r="BO91" s="202">
        <v>8.9370940501285805</v>
      </c>
    </row>
    <row r="92" spans="1:81">
      <c r="H92" s="26" t="s">
        <v>2</v>
      </c>
      <c r="I92" s="101" t="e">
        <f>B$90*'Tarantula Curve Mix Design'!#REF!+'Tarantula Curve Mix Design'!#REF!*C$90+D$90*'Tarantula Curve Mix Design'!#REF!</f>
        <v>#REF!</v>
      </c>
      <c r="J92" s="74" t="e">
        <f t="shared" si="4"/>
        <v>#REF!</v>
      </c>
      <c r="K92" s="69" t="e">
        <f t="shared" si="5"/>
        <v>#REF!</v>
      </c>
      <c r="BI92" s="200">
        <v>25</v>
      </c>
      <c r="BJ92" s="200" t="s">
        <v>76</v>
      </c>
      <c r="BK92" s="201">
        <v>0.57000000000000006</v>
      </c>
      <c r="BL92" s="201">
        <v>0.43</v>
      </c>
      <c r="BM92" s="201">
        <v>0</v>
      </c>
      <c r="BN92" s="201">
        <v>109.60000000000002</v>
      </c>
      <c r="BO92" s="202">
        <v>9.4269002240845445</v>
      </c>
    </row>
    <row r="93" spans="1:81">
      <c r="H93" s="27" t="s">
        <v>5</v>
      </c>
      <c r="I93" s="121" t="e">
        <f>B$90*'Tarantula Curve Mix Design'!#REF!+'Tarantula Curve Mix Design'!#REF!*C$90+D$90*'Tarantula Curve Mix Design'!#REF!</f>
        <v>#REF!</v>
      </c>
      <c r="J93" s="74" t="e">
        <f t="shared" si="4"/>
        <v>#REF!</v>
      </c>
      <c r="K93" s="100" t="e">
        <f t="shared" si="5"/>
        <v>#REF!</v>
      </c>
      <c r="BI93" s="200">
        <v>26</v>
      </c>
      <c r="BJ93" s="200" t="s">
        <v>76</v>
      </c>
      <c r="BK93" s="201">
        <v>0.52</v>
      </c>
      <c r="BL93" s="201">
        <v>0.48</v>
      </c>
      <c r="BM93" s="201">
        <v>0</v>
      </c>
      <c r="BN93" s="201">
        <v>109.36000000000001</v>
      </c>
      <c r="BO93" s="202">
        <v>9.9167063980405086</v>
      </c>
    </row>
    <row r="94" spans="1:81">
      <c r="H94" s="27" t="s">
        <v>7</v>
      </c>
      <c r="I94" s="101" t="e">
        <f>B$90*'Tarantula Curve Mix Design'!C45+'Tarantula Curve Mix Design'!#REF!*C$90+D$90*'Tarantula Curve Mix Design'!#REF!</f>
        <v>#DIV/0!</v>
      </c>
      <c r="J94" s="74" t="e">
        <f t="shared" si="4"/>
        <v>#REF!</v>
      </c>
      <c r="K94" s="69" t="e">
        <f t="shared" si="5"/>
        <v>#REF!</v>
      </c>
      <c r="BI94" s="200">
        <v>27</v>
      </c>
      <c r="BJ94" s="200" t="s">
        <v>76</v>
      </c>
      <c r="BK94" s="201">
        <v>0.48</v>
      </c>
      <c r="BL94" s="201">
        <v>0.52</v>
      </c>
      <c r="BM94" s="201">
        <v>0</v>
      </c>
      <c r="BN94" s="201">
        <v>111.68</v>
      </c>
      <c r="BO94" s="202">
        <v>10.308551337205278</v>
      </c>
      <c r="BX94" t="s">
        <v>183</v>
      </c>
    </row>
    <row r="95" spans="1:81" ht="15" thickBot="1">
      <c r="H95" s="27" t="s">
        <v>8</v>
      </c>
      <c r="I95" s="101" t="e">
        <f>B$90*'Tarantula Curve Mix Design'!C46+'Tarantula Curve Mix Design'!#REF!*C$90+D$90*'Tarantula Curve Mix Design'!#REF!</f>
        <v>#DIV/0!</v>
      </c>
      <c r="J95" s="74" t="e">
        <f t="shared" si="4"/>
        <v>#DIV/0!</v>
      </c>
      <c r="K95" s="69" t="e">
        <f t="shared" si="5"/>
        <v>#REF!</v>
      </c>
      <c r="BI95" s="206">
        <v>2</v>
      </c>
      <c r="BJ95" s="206" t="s">
        <v>17</v>
      </c>
      <c r="BK95" s="207">
        <v>1</v>
      </c>
      <c r="BL95" s="207">
        <v>0</v>
      </c>
      <c r="BM95" s="207">
        <v>0</v>
      </c>
      <c r="BN95" s="207">
        <v>100.85333333333335</v>
      </c>
      <c r="BO95" s="208">
        <v>5.214567128063254</v>
      </c>
    </row>
    <row r="96" spans="1:81" ht="19" thickTop="1" thickBot="1">
      <c r="H96" s="27" t="s">
        <v>9</v>
      </c>
      <c r="I96" s="101" t="e">
        <f>B$90*'Tarantula Curve Mix Design'!C47+'Tarantula Curve Mix Design'!#REF!*C$90+D$90*'Tarantula Curve Mix Design'!#REF!</f>
        <v>#DIV/0!</v>
      </c>
      <c r="J96" s="74" t="e">
        <f t="shared" si="4"/>
        <v>#DIV/0!</v>
      </c>
      <c r="K96" s="69" t="e">
        <f t="shared" si="5"/>
        <v>#REF!</v>
      </c>
      <c r="BI96" s="206">
        <v>19</v>
      </c>
      <c r="BJ96" s="206" t="s">
        <v>17</v>
      </c>
      <c r="BK96" s="207">
        <v>1</v>
      </c>
      <c r="BL96" s="207">
        <v>0</v>
      </c>
      <c r="BM96" s="207">
        <v>0</v>
      </c>
      <c r="BN96" s="207">
        <v>105.04</v>
      </c>
      <c r="BO96" s="208">
        <v>5.214567128063254</v>
      </c>
      <c r="BX96" s="382"/>
      <c r="BY96" s="383"/>
      <c r="BZ96" s="383"/>
      <c r="CA96" s="384"/>
      <c r="CB96" s="385"/>
      <c r="CC96" s="385"/>
    </row>
    <row r="97" spans="1:81" ht="18">
      <c r="H97" s="27" t="s">
        <v>10</v>
      </c>
      <c r="I97" s="101" t="e">
        <f>B$90*'Tarantula Curve Mix Design'!C48+'Tarantula Curve Mix Design'!#REF!*C$90+D$90*'Tarantula Curve Mix Design'!#REF!</f>
        <v>#DIV/0!</v>
      </c>
      <c r="J97" s="74" t="e">
        <f t="shared" si="4"/>
        <v>#DIV/0!</v>
      </c>
      <c r="K97" s="69" t="e">
        <f t="shared" si="5"/>
        <v>#REF!</v>
      </c>
      <c r="BI97" s="209">
        <v>3</v>
      </c>
      <c r="BJ97" s="209" t="s">
        <v>4</v>
      </c>
      <c r="BK97" s="210">
        <v>0</v>
      </c>
      <c r="BL97" s="210">
        <v>1</v>
      </c>
      <c r="BM97" s="210">
        <v>0</v>
      </c>
      <c r="BN97" s="210">
        <v>101.89333333333333</v>
      </c>
      <c r="BO97" s="211">
        <v>15.010690607182534</v>
      </c>
      <c r="BX97" s="396"/>
      <c r="BY97" s="386"/>
      <c r="BZ97" s="386"/>
      <c r="CA97" s="386"/>
      <c r="CB97" s="402"/>
      <c r="CC97" s="402"/>
    </row>
    <row r="98" spans="1:81" ht="17.5">
      <c r="H98" s="27" t="s">
        <v>12</v>
      </c>
      <c r="I98" s="101" t="e">
        <f>B$90*'Tarantula Curve Mix Design'!#REF!+'Tarantula Curve Mix Design'!#REF!*C$90+D$90*'Tarantula Curve Mix Design'!#REF!</f>
        <v>#REF!</v>
      </c>
      <c r="J98" s="74" t="e">
        <f t="shared" si="4"/>
        <v>#DIV/0!</v>
      </c>
      <c r="K98" s="94" t="e">
        <f t="shared" si="5"/>
        <v>#REF!</v>
      </c>
      <c r="BI98" s="209">
        <v>28</v>
      </c>
      <c r="BJ98" s="209" t="s">
        <v>4</v>
      </c>
      <c r="BK98" s="210">
        <v>0</v>
      </c>
      <c r="BL98" s="210">
        <v>1</v>
      </c>
      <c r="BM98" s="210">
        <v>0</v>
      </c>
      <c r="BN98" s="210">
        <v>106</v>
      </c>
      <c r="BO98" s="211">
        <v>15.010690607182534</v>
      </c>
      <c r="BX98" s="388"/>
      <c r="BY98" s="389"/>
      <c r="BZ98" s="389"/>
      <c r="CA98" s="389"/>
      <c r="CB98" s="402"/>
      <c r="CC98" s="402"/>
    </row>
    <row r="99" spans="1:81" ht="17.5">
      <c r="BI99" s="212">
        <v>4</v>
      </c>
      <c r="BJ99" s="212" t="s">
        <v>18</v>
      </c>
      <c r="BK99" s="213">
        <v>0</v>
      </c>
      <c r="BL99" s="213">
        <v>0</v>
      </c>
      <c r="BM99" s="213">
        <v>1</v>
      </c>
      <c r="BN99" s="213">
        <v>111.76</v>
      </c>
      <c r="BO99" s="214">
        <v>50.701540474337186</v>
      </c>
      <c r="BX99" s="388"/>
      <c r="BY99" s="389"/>
      <c r="BZ99" s="389"/>
      <c r="CA99" s="389"/>
      <c r="CB99" s="402"/>
      <c r="CC99" s="402"/>
    </row>
    <row r="100" spans="1:81" ht="17.5">
      <c r="BI100" s="215">
        <v>33</v>
      </c>
      <c r="BJ100" s="215" t="s">
        <v>77</v>
      </c>
      <c r="BK100" s="216">
        <v>0.48447478528958382</v>
      </c>
      <c r="BL100" s="216">
        <v>0.19951552521471044</v>
      </c>
      <c r="BM100" s="216">
        <v>0.31490861043822949</v>
      </c>
      <c r="BN100" s="216">
        <v>132.02666666666667</v>
      </c>
      <c r="BO100" s="217">
        <v>21.489745926040243</v>
      </c>
      <c r="BX100" s="388"/>
      <c r="BY100" s="389"/>
      <c r="BZ100" s="389"/>
      <c r="CA100" s="389"/>
      <c r="CB100" s="402"/>
      <c r="CC100" s="402"/>
    </row>
    <row r="101" spans="1:81" ht="17.5">
      <c r="BI101" s="215">
        <v>32</v>
      </c>
      <c r="BJ101" s="215" t="s">
        <v>77</v>
      </c>
      <c r="BK101" s="216">
        <v>0.48479506390480392</v>
      </c>
      <c r="BL101" s="216">
        <v>0.16923754958131337</v>
      </c>
      <c r="BM101" s="216">
        <v>0.34596738651388281</v>
      </c>
      <c r="BN101" s="216">
        <v>133.65333333333334</v>
      </c>
      <c r="BO101" s="217">
        <v>22.609448350102411</v>
      </c>
      <c r="BX101" s="388"/>
      <c r="BY101" s="389"/>
      <c r="BZ101" s="389"/>
      <c r="CA101" s="389"/>
      <c r="CB101" s="402"/>
      <c r="CC101" s="402"/>
    </row>
    <row r="102" spans="1:81" ht="18" thickBot="1">
      <c r="AF102" s="28" t="s">
        <v>42</v>
      </c>
      <c r="AG102" s="16" t="s">
        <v>28</v>
      </c>
      <c r="AH102" s="12"/>
      <c r="AJ102" s="16" t="s">
        <v>20</v>
      </c>
      <c r="AK102" s="34" t="s">
        <v>33</v>
      </c>
      <c r="AL102" s="34" t="s">
        <v>34</v>
      </c>
      <c r="BI102" s="218">
        <v>30</v>
      </c>
      <c r="BJ102" s="218" t="s">
        <v>77</v>
      </c>
      <c r="BK102" s="219">
        <v>0.45372050816696918</v>
      </c>
      <c r="BL102" s="219">
        <v>0.19918330308529944</v>
      </c>
      <c r="BM102" s="219">
        <v>0.3470961887477314</v>
      </c>
      <c r="BN102" s="219">
        <v>131.49333333333334</v>
      </c>
      <c r="BO102" s="157">
        <v>22.954146446227011</v>
      </c>
      <c r="BX102" s="388"/>
      <c r="BY102" s="389"/>
      <c r="BZ102" s="389"/>
      <c r="CA102" s="389"/>
      <c r="CB102" s="402"/>
      <c r="CC102" s="402"/>
    </row>
    <row r="103" spans="1:81" ht="18" thickBot="1">
      <c r="AF103" s="16" t="s">
        <v>31</v>
      </c>
      <c r="AG103" s="88" t="e">
        <f>K91/K93</f>
        <v>#REF!</v>
      </c>
      <c r="AH103" s="12"/>
      <c r="AJ103" s="16">
        <v>7</v>
      </c>
      <c r="AK103" s="35">
        <v>290.22500000000002</v>
      </c>
      <c r="AL103" s="10">
        <v>156.27500000000001</v>
      </c>
      <c r="BI103" s="220">
        <v>34</v>
      </c>
      <c r="BJ103" s="221" t="s">
        <v>77</v>
      </c>
      <c r="BK103" s="222">
        <v>0.48447478528958382</v>
      </c>
      <c r="BL103" s="222">
        <v>0.13895617705351243</v>
      </c>
      <c r="BM103" s="222">
        <v>0.3765690376569038</v>
      </c>
      <c r="BN103" s="222">
        <v>136.08000000000001</v>
      </c>
      <c r="BO103" s="223">
        <v>23.704784775597435</v>
      </c>
      <c r="BX103" s="390"/>
      <c r="BY103" s="389"/>
      <c r="BZ103" s="389"/>
      <c r="CA103" s="389"/>
      <c r="CB103" s="402"/>
      <c r="CC103" s="402"/>
    </row>
    <row r="104" spans="1:81" ht="17.5">
      <c r="AC104" s="12"/>
      <c r="AF104" s="16" t="s">
        <v>32</v>
      </c>
      <c r="AG104" s="88" t="e">
        <f>(I93*100+2.5*((AK103+AL103)-564)/94)/100</f>
        <v>#REF!</v>
      </c>
      <c r="BI104" s="224">
        <v>29</v>
      </c>
      <c r="BJ104" s="224" t="s">
        <v>77</v>
      </c>
      <c r="BK104" s="225">
        <v>0.45392646391284608</v>
      </c>
      <c r="BL104" s="225">
        <v>0.1693145710394916</v>
      </c>
      <c r="BM104" s="225">
        <v>0.37675896504766226</v>
      </c>
      <c r="BN104" s="225">
        <v>131.09333333333333</v>
      </c>
      <c r="BO104" s="160">
        <v>24.010818573872992</v>
      </c>
      <c r="BQ104" s="240"/>
      <c r="BR104" s="240"/>
      <c r="BS104" s="240"/>
      <c r="BX104" s="390"/>
      <c r="BY104" s="389"/>
      <c r="BZ104" s="389"/>
      <c r="CA104" s="389"/>
      <c r="CB104" s="402"/>
      <c r="CC104" s="402"/>
    </row>
    <row r="105" spans="1:81" ht="17.5">
      <c r="S105" s="12"/>
      <c r="T105" s="58"/>
      <c r="U105" s="12"/>
      <c r="V105" s="12"/>
      <c r="W105" s="12"/>
      <c r="X105" s="91"/>
      <c r="Y105" s="91"/>
      <c r="Z105" s="12"/>
      <c r="BI105" s="215">
        <v>43</v>
      </c>
      <c r="BJ105" s="215" t="s">
        <v>77</v>
      </c>
      <c r="BK105" s="216">
        <v>0.42390843577787196</v>
      </c>
      <c r="BL105" s="216">
        <v>0.19923696481559983</v>
      </c>
      <c r="BM105" s="216">
        <v>0.37685459940652821</v>
      </c>
      <c r="BN105" s="216">
        <v>130.16</v>
      </c>
      <c r="BO105" s="217">
        <v>24.308292155627306</v>
      </c>
      <c r="BX105" s="390"/>
      <c r="BY105" s="389"/>
      <c r="BZ105" s="389"/>
      <c r="CA105" s="389"/>
      <c r="CB105" s="402"/>
      <c r="CC105" s="402"/>
    </row>
    <row r="106" spans="1:81" ht="17.5">
      <c r="S106" s="58"/>
      <c r="T106" s="84"/>
      <c r="U106" s="12"/>
      <c r="V106" s="12"/>
      <c r="W106" s="12"/>
      <c r="X106" s="92"/>
      <c r="Y106" s="12"/>
      <c r="Z106" s="12"/>
      <c r="BI106" s="215">
        <v>37</v>
      </c>
      <c r="BJ106" s="215" t="s">
        <v>77</v>
      </c>
      <c r="BK106" s="216">
        <v>0.42372881355932202</v>
      </c>
      <c r="BL106" s="216">
        <v>0.19915254237288135</v>
      </c>
      <c r="BM106" s="216">
        <v>0.3771186440677966</v>
      </c>
      <c r="BN106" s="216">
        <v>134.66666666666669</v>
      </c>
      <c r="BO106" s="217">
        <v>24.319475735423367</v>
      </c>
      <c r="BX106" s="390"/>
      <c r="BY106" s="389"/>
      <c r="BZ106" s="389"/>
      <c r="CA106" s="389"/>
      <c r="CB106" s="402"/>
      <c r="CC106" s="402"/>
    </row>
    <row r="107" spans="1:81" ht="17.5">
      <c r="S107" s="58"/>
      <c r="T107" s="84"/>
      <c r="U107" s="12"/>
      <c r="V107" s="12"/>
      <c r="W107" s="12"/>
      <c r="X107" s="12"/>
      <c r="Y107" s="12"/>
      <c r="Z107" s="12"/>
      <c r="BI107" s="215">
        <v>31</v>
      </c>
      <c r="BJ107" s="215" t="s">
        <v>77</v>
      </c>
      <c r="BK107" s="216">
        <v>0.4533091568449682</v>
      </c>
      <c r="BL107" s="216">
        <v>0.13871260199456029</v>
      </c>
      <c r="BM107" s="216">
        <v>0.40797824116047138</v>
      </c>
      <c r="BN107" s="216">
        <v>132.48000000000002</v>
      </c>
      <c r="BO107" s="217">
        <v>25.131108286837978</v>
      </c>
      <c r="BX107" s="390"/>
      <c r="BY107" s="389"/>
      <c r="BZ107" s="389"/>
      <c r="CA107" s="389"/>
      <c r="CB107" s="402"/>
      <c r="CC107" s="402"/>
    </row>
    <row r="108" spans="1:81" ht="18" thickBot="1">
      <c r="BI108" s="215">
        <v>35</v>
      </c>
      <c r="BJ108" s="215" t="s">
        <v>77</v>
      </c>
      <c r="BK108" s="216">
        <v>0.42390843577787196</v>
      </c>
      <c r="BL108" s="216">
        <v>0.16913946587537093</v>
      </c>
      <c r="BM108" s="216">
        <v>0.40695209834675711</v>
      </c>
      <c r="BN108" s="216">
        <v>135.62666666666669</v>
      </c>
      <c r="BO108" s="217">
        <v>25.382497471679859</v>
      </c>
      <c r="BX108" s="391"/>
      <c r="BY108" s="389"/>
      <c r="BZ108" s="389"/>
      <c r="CA108" s="389"/>
      <c r="CB108" s="402"/>
      <c r="CC108" s="402"/>
    </row>
    <row r="109" spans="1:81" ht="15" thickTop="1">
      <c r="BI109" s="215">
        <v>36</v>
      </c>
      <c r="BJ109" s="215" t="s">
        <v>77</v>
      </c>
      <c r="BK109" s="216">
        <v>0.42337002540220159</v>
      </c>
      <c r="BL109" s="216">
        <v>0.1384419983065199</v>
      </c>
      <c r="BM109" s="216">
        <v>0.43818797629127859</v>
      </c>
      <c r="BN109" s="216">
        <v>134.69333333333336</v>
      </c>
      <c r="BO109" s="217">
        <v>26.502606836389056</v>
      </c>
    </row>
    <row r="110" spans="1:81">
      <c r="BI110" s="226">
        <v>39</v>
      </c>
      <c r="BJ110" s="226" t="s">
        <v>78</v>
      </c>
      <c r="BK110" s="227">
        <v>0.61085972850678727</v>
      </c>
      <c r="BL110" s="227">
        <v>0</v>
      </c>
      <c r="BM110" s="227">
        <v>0.38914027149321262</v>
      </c>
      <c r="BN110" s="227">
        <v>133.14666666666668</v>
      </c>
      <c r="BO110" s="228">
        <v>22.915380285436818</v>
      </c>
    </row>
    <row r="111" spans="1:81" ht="15" thickBot="1">
      <c r="H111" s="33" t="s">
        <v>30</v>
      </c>
      <c r="I111" s="30"/>
      <c r="J111" s="30"/>
      <c r="K111" s="20"/>
      <c r="BI111" s="229">
        <v>38</v>
      </c>
      <c r="BJ111" s="229" t="s">
        <v>78</v>
      </c>
      <c r="BK111" s="230">
        <v>0.59734513274336276</v>
      </c>
      <c r="BL111" s="230">
        <v>0</v>
      </c>
      <c r="BM111" s="230">
        <v>0.40265486725663713</v>
      </c>
      <c r="BN111" s="230">
        <v>133.81333333333333</v>
      </c>
      <c r="BO111" s="231">
        <v>23.530118342713376</v>
      </c>
    </row>
    <row r="112" spans="1:81" ht="15" thickBot="1">
      <c r="A112" s="10" t="s">
        <v>20</v>
      </c>
      <c r="B112" s="5" t="s">
        <v>17</v>
      </c>
      <c r="C112" s="5" t="s">
        <v>4</v>
      </c>
      <c r="D112" s="5" t="s">
        <v>18</v>
      </c>
      <c r="E112" s="8" t="s">
        <v>19</v>
      </c>
      <c r="H112" s="28"/>
      <c r="I112" s="9"/>
      <c r="J112" s="32" t="s">
        <v>43</v>
      </c>
      <c r="K112" s="20"/>
      <c r="BI112" s="232">
        <v>40</v>
      </c>
      <c r="BJ112" s="233" t="s">
        <v>78</v>
      </c>
      <c r="BK112" s="234">
        <v>0.5818965517241379</v>
      </c>
      <c r="BL112" s="234">
        <v>0</v>
      </c>
      <c r="BM112" s="234">
        <v>0.41810344827586204</v>
      </c>
      <c r="BN112" s="234">
        <v>136.66666666666666</v>
      </c>
      <c r="BO112" s="235">
        <v>24.232827535772618</v>
      </c>
    </row>
    <row r="113" spans="1:67" ht="27">
      <c r="A113" s="16">
        <v>10</v>
      </c>
      <c r="B113" s="6">
        <v>1503</v>
      </c>
      <c r="C113" s="6">
        <v>560</v>
      </c>
      <c r="D113" s="6">
        <v>1260</v>
      </c>
      <c r="E113" s="10">
        <f>B113+C113+D113</f>
        <v>3323</v>
      </c>
      <c r="H113" s="11" t="s">
        <v>16</v>
      </c>
      <c r="I113" s="29" t="s">
        <v>26</v>
      </c>
      <c r="J113" s="29" t="s">
        <v>27</v>
      </c>
      <c r="K113" s="31" t="s">
        <v>29</v>
      </c>
      <c r="BI113" s="236">
        <v>41</v>
      </c>
      <c r="BJ113" s="236" t="s">
        <v>78</v>
      </c>
      <c r="BK113" s="237">
        <v>0.56657223796033995</v>
      </c>
      <c r="BL113" s="237">
        <v>0</v>
      </c>
      <c r="BM113" s="237">
        <v>0.43342776203966005</v>
      </c>
      <c r="BN113" s="237">
        <v>135.22666666666669</v>
      </c>
      <c r="BO113" s="238">
        <v>24.929884187496437</v>
      </c>
    </row>
    <row r="114" spans="1:67">
      <c r="H114" s="24">
        <v>1.5</v>
      </c>
      <c r="I114" s="101" t="e">
        <f>B$116*'Tarantula Curve Mix Design'!#REF!+'Tarantula Curve Mix Design'!#REF!*C$116+D$116*'Tarantula Curve Mix Design'!#REF!</f>
        <v>#REF!</v>
      </c>
      <c r="J114" s="102" t="e">
        <f>1-I114</f>
        <v>#REF!</v>
      </c>
      <c r="K114" s="68" t="e">
        <f>J114</f>
        <v>#REF!</v>
      </c>
      <c r="BI114" s="226">
        <v>42</v>
      </c>
      <c r="BJ114" s="226" t="s">
        <v>78</v>
      </c>
      <c r="BK114" s="227">
        <v>0.5524861878453039</v>
      </c>
      <c r="BL114" s="227">
        <v>0</v>
      </c>
      <c r="BM114" s="227">
        <v>0.44751381215469616</v>
      </c>
      <c r="BN114" s="227">
        <v>135.76000000000002</v>
      </c>
      <c r="BO114" s="228">
        <v>25.570615973633362</v>
      </c>
    </row>
    <row r="115" spans="1:67">
      <c r="B115" s="52" t="s">
        <v>24</v>
      </c>
      <c r="C115" s="53"/>
      <c r="D115" s="54"/>
      <c r="H115" s="24">
        <v>1</v>
      </c>
      <c r="I115" s="101" t="e">
        <f>B$116*'Tarantula Curve Mix Design'!#REF!+'Tarantula Curve Mix Design'!#REF!*C$116+D$116*'Tarantula Curve Mix Design'!#REF!</f>
        <v>#REF!</v>
      </c>
      <c r="J115" s="74" t="e">
        <f>I114-I115</f>
        <v>#REF!</v>
      </c>
      <c r="K115" s="69" t="e">
        <f>J114+J115</f>
        <v>#REF!</v>
      </c>
    </row>
    <row r="116" spans="1:67">
      <c r="B116" s="164">
        <f>B113/E113</f>
        <v>0.45230213662353297</v>
      </c>
      <c r="C116" s="164">
        <f>C113/E113</f>
        <v>0.16852241950045141</v>
      </c>
      <c r="D116" s="164">
        <f>D113/E113</f>
        <v>0.37917544387601565</v>
      </c>
      <c r="H116" s="25">
        <v>0.75</v>
      </c>
      <c r="I116" s="101" t="e">
        <f>B$116*'Tarantula Curve Mix Design'!#REF!+'Tarantula Curve Mix Design'!#REF!*C$116+D$116*'Tarantula Curve Mix Design'!#REF!</f>
        <v>#REF!</v>
      </c>
      <c r="J116" s="74" t="e">
        <f t="shared" ref="J116:J125" si="6">I115-I116</f>
        <v>#REF!</v>
      </c>
      <c r="K116" s="69" t="e">
        <f>J115+J116</f>
        <v>#REF!</v>
      </c>
    </row>
    <row r="117" spans="1:67">
      <c r="E117" s="56"/>
      <c r="H117" s="25">
        <v>0.5</v>
      </c>
      <c r="I117" s="101" t="e">
        <f>B$116*'Tarantula Curve Mix Design'!#REF!+'Tarantula Curve Mix Design'!#REF!*C$116+D$116*'Tarantula Curve Mix Design'!#REF!</f>
        <v>#REF!</v>
      </c>
      <c r="J117" s="74" t="e">
        <f t="shared" si="6"/>
        <v>#REF!</v>
      </c>
      <c r="K117" s="69" t="e">
        <f t="shared" ref="K117:K125" si="7">K116+J117</f>
        <v>#REF!</v>
      </c>
    </row>
    <row r="118" spans="1:67">
      <c r="E118" s="56"/>
      <c r="H118" s="10">
        <v>0.375</v>
      </c>
      <c r="I118" s="101" t="e">
        <f>B$116*'Tarantula Curve Mix Design'!#REF!+'Tarantula Curve Mix Design'!#REF!*C$116+D$116*'Tarantula Curve Mix Design'!#REF!</f>
        <v>#REF!</v>
      </c>
      <c r="J118" s="74" t="e">
        <f t="shared" si="6"/>
        <v>#REF!</v>
      </c>
      <c r="K118" s="100" t="e">
        <f t="shared" si="7"/>
        <v>#REF!</v>
      </c>
    </row>
    <row r="119" spans="1:67">
      <c r="E119" s="56"/>
      <c r="H119" s="26" t="s">
        <v>2</v>
      </c>
      <c r="I119" s="101" t="e">
        <f>B$116*'Tarantula Curve Mix Design'!#REF!+'Tarantula Curve Mix Design'!#REF!*C$116+D$116*'Tarantula Curve Mix Design'!#REF!</f>
        <v>#REF!</v>
      </c>
      <c r="J119" s="74" t="e">
        <f t="shared" si="6"/>
        <v>#REF!</v>
      </c>
      <c r="K119" s="69" t="e">
        <f t="shared" si="7"/>
        <v>#REF!</v>
      </c>
    </row>
    <row r="120" spans="1:67">
      <c r="E120" s="56"/>
      <c r="H120" s="27" t="s">
        <v>5</v>
      </c>
      <c r="I120" s="121" t="e">
        <f>B$116*'Tarantula Curve Mix Design'!#REF!+'Tarantula Curve Mix Design'!#REF!*C$116+D$116*'Tarantula Curve Mix Design'!#REF!</f>
        <v>#REF!</v>
      </c>
      <c r="J120" s="74" t="e">
        <f t="shared" si="6"/>
        <v>#REF!</v>
      </c>
      <c r="K120" s="100" t="e">
        <f t="shared" si="7"/>
        <v>#REF!</v>
      </c>
    </row>
    <row r="121" spans="1:67">
      <c r="E121" s="56"/>
      <c r="H121" s="27" t="s">
        <v>7</v>
      </c>
      <c r="I121" s="101" t="e">
        <f>B$116*'Tarantula Curve Mix Design'!C45+'Tarantula Curve Mix Design'!#REF!*C$116+D$116*'Tarantula Curve Mix Design'!#REF!</f>
        <v>#DIV/0!</v>
      </c>
      <c r="J121" s="74" t="e">
        <f t="shared" si="6"/>
        <v>#REF!</v>
      </c>
      <c r="K121" s="69" t="e">
        <f t="shared" si="7"/>
        <v>#REF!</v>
      </c>
    </row>
    <row r="122" spans="1:67">
      <c r="E122" s="56"/>
      <c r="H122" s="27" t="s">
        <v>8</v>
      </c>
      <c r="I122" s="101" t="e">
        <f>B$116*'Tarantula Curve Mix Design'!C46+'Tarantula Curve Mix Design'!#REF!*C$116+D$116*'Tarantula Curve Mix Design'!#REF!</f>
        <v>#DIV/0!</v>
      </c>
      <c r="J122" s="74" t="e">
        <f t="shared" si="6"/>
        <v>#DIV/0!</v>
      </c>
      <c r="K122" s="69" t="e">
        <f t="shared" si="7"/>
        <v>#REF!</v>
      </c>
    </row>
    <row r="123" spans="1:67">
      <c r="E123" s="56"/>
      <c r="H123" s="27" t="s">
        <v>9</v>
      </c>
      <c r="I123" s="101" t="e">
        <f>B$116*'Tarantula Curve Mix Design'!C47+'Tarantula Curve Mix Design'!#REF!*C$116+D$116*'Tarantula Curve Mix Design'!#REF!</f>
        <v>#DIV/0!</v>
      </c>
      <c r="J123" s="74" t="e">
        <f t="shared" si="6"/>
        <v>#DIV/0!</v>
      </c>
      <c r="K123" s="69" t="e">
        <f t="shared" si="7"/>
        <v>#REF!</v>
      </c>
    </row>
    <row r="124" spans="1:67">
      <c r="E124" s="56"/>
      <c r="H124" s="27" t="s">
        <v>10</v>
      </c>
      <c r="I124" s="101" t="e">
        <f>B$116*'Tarantula Curve Mix Design'!C48+'Tarantula Curve Mix Design'!#REF!*C$116+D$116*'Tarantula Curve Mix Design'!#REF!</f>
        <v>#DIV/0!</v>
      </c>
      <c r="J124" s="74" t="e">
        <f t="shared" si="6"/>
        <v>#DIV/0!</v>
      </c>
      <c r="K124" s="69" t="e">
        <f t="shared" si="7"/>
        <v>#REF!</v>
      </c>
    </row>
    <row r="125" spans="1:67">
      <c r="E125" s="56"/>
      <c r="H125" s="27" t="s">
        <v>12</v>
      </c>
      <c r="I125" s="101" t="e">
        <f>B$116*'Tarantula Curve Mix Design'!#REF!+'Tarantula Curve Mix Design'!#REF!*C$116+D$116*'Tarantula Curve Mix Design'!#REF!</f>
        <v>#REF!</v>
      </c>
      <c r="J125" s="74" t="e">
        <f t="shared" si="6"/>
        <v>#DIV/0!</v>
      </c>
      <c r="K125" s="94" t="e">
        <f t="shared" si="7"/>
        <v>#REF!</v>
      </c>
    </row>
    <row r="126" spans="1:67">
      <c r="E126" s="56"/>
    </row>
    <row r="127" spans="1:67">
      <c r="E127" s="56"/>
    </row>
    <row r="128" spans="1:67">
      <c r="E128" s="56"/>
    </row>
    <row r="130" spans="1:38">
      <c r="AF130" s="89" t="s">
        <v>42</v>
      </c>
      <c r="AG130" s="16" t="s">
        <v>28</v>
      </c>
      <c r="AH130" s="12"/>
      <c r="AJ130" s="10" t="s">
        <v>20</v>
      </c>
      <c r="AK130" s="10" t="s">
        <v>33</v>
      </c>
      <c r="AL130" s="10" t="s">
        <v>34</v>
      </c>
    </row>
    <row r="131" spans="1:38">
      <c r="AF131" s="16" t="s">
        <v>31</v>
      </c>
      <c r="AG131" s="88" t="e">
        <f>K118/K120</f>
        <v>#REF!</v>
      </c>
      <c r="AH131" s="12"/>
      <c r="AJ131" s="10">
        <v>3</v>
      </c>
      <c r="AK131" s="10">
        <v>290.2</v>
      </c>
      <c r="AL131" s="10">
        <v>156.19999999999999</v>
      </c>
    </row>
    <row r="132" spans="1:38">
      <c r="AF132" s="16" t="s">
        <v>32</v>
      </c>
      <c r="AG132" s="88" t="e">
        <f>(I120*100+2.5*((AK131+AL131)-564)/94)/100</f>
        <v>#REF!</v>
      </c>
      <c r="AH132" s="12"/>
    </row>
    <row r="136" spans="1:38">
      <c r="B136" s="154" t="s">
        <v>59</v>
      </c>
      <c r="C136" s="153" t="s">
        <v>57</v>
      </c>
      <c r="D136" s="155" t="s">
        <v>58</v>
      </c>
    </row>
    <row r="137" spans="1:38">
      <c r="A137" s="158">
        <v>14</v>
      </c>
      <c r="B137" s="159">
        <v>275</v>
      </c>
      <c r="C137" s="159">
        <v>148</v>
      </c>
      <c r="D137" s="159">
        <v>190.35</v>
      </c>
    </row>
    <row r="138" spans="1:38">
      <c r="H138" s="33" t="s">
        <v>30</v>
      </c>
      <c r="I138" s="30"/>
      <c r="J138" s="30"/>
      <c r="K138" s="20"/>
    </row>
    <row r="139" spans="1:38">
      <c r="A139" s="10" t="s">
        <v>20</v>
      </c>
      <c r="B139" s="5" t="s">
        <v>17</v>
      </c>
      <c r="C139" s="5" t="s">
        <v>4</v>
      </c>
      <c r="D139" s="5" t="s">
        <v>18</v>
      </c>
      <c r="E139" s="8" t="s">
        <v>19</v>
      </c>
      <c r="H139" s="28"/>
      <c r="I139" s="9"/>
      <c r="J139" s="32" t="s">
        <v>44</v>
      </c>
      <c r="K139" s="20"/>
    </row>
    <row r="140" spans="1:38" ht="27">
      <c r="A140" s="16">
        <v>14</v>
      </c>
      <c r="B140" s="7">
        <v>1626.8</v>
      </c>
      <c r="C140" s="7">
        <v>467</v>
      </c>
      <c r="D140" s="7">
        <v>1265.5999999999999</v>
      </c>
      <c r="E140" s="10">
        <f>SUM(B140:D140)</f>
        <v>3359.4</v>
      </c>
      <c r="H140" s="11" t="s">
        <v>16</v>
      </c>
      <c r="I140" s="29" t="s">
        <v>26</v>
      </c>
      <c r="J140" s="29" t="s">
        <v>27</v>
      </c>
      <c r="K140" s="31" t="s">
        <v>29</v>
      </c>
    </row>
    <row r="141" spans="1:38">
      <c r="H141" s="24">
        <v>1.5</v>
      </c>
      <c r="I141" s="101" t="e">
        <f>B$143*'Tarantula Curve Mix Design'!#REF!+'Tarantula Curve Mix Design'!#REF!*C$143+D$143*'Tarantula Curve Mix Design'!#REF!</f>
        <v>#REF!</v>
      </c>
      <c r="J141" s="102" t="e">
        <f>1-I141</f>
        <v>#REF!</v>
      </c>
      <c r="K141" s="68" t="e">
        <f>J141</f>
        <v>#REF!</v>
      </c>
    </row>
    <row r="142" spans="1:38">
      <c r="B142" s="52" t="s">
        <v>24</v>
      </c>
      <c r="C142" s="53"/>
      <c r="D142" s="54"/>
      <c r="H142" s="24">
        <v>1</v>
      </c>
      <c r="I142" s="101" t="e">
        <f>B$143*'Tarantula Curve Mix Design'!#REF!+'Tarantula Curve Mix Design'!#REF!*C$143+D$143*'Tarantula Curve Mix Design'!#REF!</f>
        <v>#REF!</v>
      </c>
      <c r="J142" s="74" t="e">
        <f>I141-I142</f>
        <v>#REF!</v>
      </c>
      <c r="K142" s="69" t="e">
        <f>J141+J142</f>
        <v>#REF!</v>
      </c>
    </row>
    <row r="143" spans="1:38">
      <c r="B143" s="143">
        <f>B140/E140</f>
        <v>0.4842531404417455</v>
      </c>
      <c r="C143" s="143">
        <f>C140/E140</f>
        <v>0.13901291897362625</v>
      </c>
      <c r="D143" s="143">
        <f>D140/E140</f>
        <v>0.37673394058462817</v>
      </c>
      <c r="F143" s="60"/>
      <c r="G143" s="60"/>
      <c r="H143" s="25">
        <v>0.75</v>
      </c>
      <c r="I143" s="101" t="e">
        <f>B$143*'Tarantula Curve Mix Design'!#REF!+'Tarantula Curve Mix Design'!#REF!*C$143+D$143*'Tarantula Curve Mix Design'!#REF!</f>
        <v>#REF!</v>
      </c>
      <c r="J143" s="74" t="e">
        <f t="shared" ref="J143:J152" si="8">I142-I143</f>
        <v>#REF!</v>
      </c>
      <c r="K143" s="69" t="e">
        <f>J142+J143</f>
        <v>#REF!</v>
      </c>
    </row>
    <row r="144" spans="1:38">
      <c r="F144" s="60"/>
      <c r="G144" s="60"/>
      <c r="H144" s="25">
        <v>0.5</v>
      </c>
      <c r="I144" s="101" t="e">
        <f>B$143*'Tarantula Curve Mix Design'!#REF!+'Tarantula Curve Mix Design'!#REF!*C$143+D$143*'Tarantula Curve Mix Design'!#REF!</f>
        <v>#REF!</v>
      </c>
      <c r="J144" s="74" t="e">
        <f t="shared" si="8"/>
        <v>#REF!</v>
      </c>
      <c r="K144" s="69" t="e">
        <f t="shared" ref="K144:K152" si="9">K143+J144</f>
        <v>#REF!</v>
      </c>
    </row>
    <row r="145" spans="1:38">
      <c r="B145" s="146" t="s">
        <v>51</v>
      </c>
      <c r="C145" s="50"/>
      <c r="D145" s="51"/>
      <c r="F145" s="60"/>
      <c r="G145" s="60"/>
      <c r="H145" s="10">
        <v>0.375</v>
      </c>
      <c r="I145" s="101" t="e">
        <f>B$143*'Tarantula Curve Mix Design'!#REF!+'Tarantula Curve Mix Design'!#REF!*C$143+D$143*'Tarantula Curve Mix Design'!#REF!</f>
        <v>#REF!</v>
      </c>
      <c r="J145" s="74" t="e">
        <f t="shared" si="8"/>
        <v>#REF!</v>
      </c>
      <c r="K145" s="100" t="e">
        <f t="shared" si="9"/>
        <v>#REF!</v>
      </c>
    </row>
    <row r="146" spans="1:38">
      <c r="A146" s="5" t="s">
        <v>17</v>
      </c>
      <c r="B146" s="5" t="s">
        <v>4</v>
      </c>
      <c r="C146" s="5" t="s">
        <v>18</v>
      </c>
      <c r="D146" s="8" t="s">
        <v>33</v>
      </c>
      <c r="E146" s="8" t="s">
        <v>55</v>
      </c>
      <c r="F146" s="125" t="s">
        <v>56</v>
      </c>
      <c r="G146" s="85"/>
      <c r="H146" s="26" t="s">
        <v>2</v>
      </c>
      <c r="I146" s="101" t="e">
        <f>B$143*'Tarantula Curve Mix Design'!#REF!+'Tarantula Curve Mix Design'!#REF!*C$143+D$143*'Tarantula Curve Mix Design'!#REF!</f>
        <v>#REF!</v>
      </c>
      <c r="J146" s="74" t="e">
        <f t="shared" si="8"/>
        <v>#REF!</v>
      </c>
      <c r="K146" s="69" t="e">
        <f t="shared" si="9"/>
        <v>#REF!</v>
      </c>
    </row>
    <row r="147" spans="1:38">
      <c r="A147" s="16">
        <v>2.65</v>
      </c>
      <c r="B147" s="16">
        <v>2.65</v>
      </c>
      <c r="C147" s="16">
        <v>2.65</v>
      </c>
      <c r="D147" s="16">
        <v>3.1</v>
      </c>
      <c r="E147" s="16">
        <v>2.5</v>
      </c>
      <c r="F147" s="148">
        <v>1</v>
      </c>
      <c r="G147" s="4"/>
      <c r="H147" s="27" t="s">
        <v>5</v>
      </c>
      <c r="I147" s="121" t="e">
        <f>B$143*'Tarantula Curve Mix Design'!#REF!+'Tarantula Curve Mix Design'!#REF!*C$143+D$143*'Tarantula Curve Mix Design'!#REF!</f>
        <v>#REF!</v>
      </c>
      <c r="J147" s="74" t="e">
        <f t="shared" si="8"/>
        <v>#REF!</v>
      </c>
      <c r="K147" s="100" t="e">
        <f t="shared" si="9"/>
        <v>#REF!</v>
      </c>
    </row>
    <row r="148" spans="1:38">
      <c r="F148" s="60"/>
      <c r="G148" s="60"/>
      <c r="H148" s="27" t="s">
        <v>7</v>
      </c>
      <c r="I148" s="101" t="e">
        <f>B$143*'Tarantula Curve Mix Design'!C45+'Tarantula Curve Mix Design'!#REF!*C$143+D$143*'Tarantula Curve Mix Design'!#REF!</f>
        <v>#DIV/0!</v>
      </c>
      <c r="J148" s="74" t="e">
        <f t="shared" si="8"/>
        <v>#REF!</v>
      </c>
      <c r="K148" s="69" t="e">
        <f t="shared" si="9"/>
        <v>#REF!</v>
      </c>
    </row>
    <row r="149" spans="1:38">
      <c r="A149" s="147" t="s">
        <v>52</v>
      </c>
      <c r="B149" s="5" t="s">
        <v>17</v>
      </c>
      <c r="C149" s="5" t="s">
        <v>4</v>
      </c>
      <c r="D149" s="5" t="s">
        <v>18</v>
      </c>
      <c r="F149" s="60"/>
      <c r="G149" s="60"/>
      <c r="H149" s="27" t="s">
        <v>8</v>
      </c>
      <c r="I149" s="101" t="e">
        <f>B$143*'Tarantula Curve Mix Design'!C46+'Tarantula Curve Mix Design'!#REF!*C$143+D$143*'Tarantula Curve Mix Design'!#REF!</f>
        <v>#DIV/0!</v>
      </c>
      <c r="J149" s="74" t="e">
        <f t="shared" si="8"/>
        <v>#DIV/0!</v>
      </c>
      <c r="K149" s="69" t="e">
        <f t="shared" si="9"/>
        <v>#REF!</v>
      </c>
    </row>
    <row r="150" spans="1:38">
      <c r="A150" s="16" t="s">
        <v>53</v>
      </c>
      <c r="B150" s="161">
        <f>B140/A147/62.4</f>
        <v>9.8379293662312524</v>
      </c>
      <c r="C150" s="161">
        <f>C140/B147/62.4</f>
        <v>2.8241412675374939</v>
      </c>
      <c r="D150" s="161">
        <f>D140/C147/62.4</f>
        <v>7.6536042573778422</v>
      </c>
      <c r="E150" s="161">
        <f>SUM(B150:D150)</f>
        <v>20.315674891146589</v>
      </c>
      <c r="F150" s="60"/>
      <c r="G150" s="60"/>
      <c r="H150" s="27" t="s">
        <v>9</v>
      </c>
      <c r="I150" s="101" t="e">
        <f>B$143*'Tarantula Curve Mix Design'!C47+'Tarantula Curve Mix Design'!#REF!*C$143+D$143*'Tarantula Curve Mix Design'!#REF!</f>
        <v>#DIV/0!</v>
      </c>
      <c r="J150" s="74" t="e">
        <f t="shared" si="8"/>
        <v>#DIV/0!</v>
      </c>
      <c r="K150" s="69" t="e">
        <f t="shared" si="9"/>
        <v>#REF!</v>
      </c>
    </row>
    <row r="151" spans="1:38">
      <c r="F151" s="60"/>
      <c r="G151" s="60"/>
      <c r="H151" s="27" t="s">
        <v>10</v>
      </c>
      <c r="I151" s="101" t="e">
        <f>B$143*'Tarantula Curve Mix Design'!C48+'Tarantula Curve Mix Design'!#REF!*C$143+D$143*'Tarantula Curve Mix Design'!#REF!</f>
        <v>#DIV/0!</v>
      </c>
      <c r="J151" s="74" t="e">
        <f t="shared" si="8"/>
        <v>#DIV/0!</v>
      </c>
      <c r="K151" s="69" t="e">
        <f t="shared" si="9"/>
        <v>#REF!</v>
      </c>
    </row>
    <row r="152" spans="1:38">
      <c r="A152" s="147" t="s">
        <v>52</v>
      </c>
      <c r="B152" s="8" t="s">
        <v>33</v>
      </c>
      <c r="C152" s="8" t="s">
        <v>55</v>
      </c>
      <c r="D152" s="88" t="s">
        <v>56</v>
      </c>
      <c r="F152" s="60"/>
      <c r="G152" s="60"/>
      <c r="H152" s="27" t="s">
        <v>12</v>
      </c>
      <c r="I152" s="101" t="e">
        <f>B$143*'Tarantula Curve Mix Design'!#REF!+'Tarantula Curve Mix Design'!#REF!*C$143+D$143*'Tarantula Curve Mix Design'!#REF!</f>
        <v>#REF!</v>
      </c>
      <c r="J152" s="74" t="e">
        <f t="shared" si="8"/>
        <v>#DIV/0!</v>
      </c>
      <c r="K152" s="94" t="e">
        <f t="shared" si="9"/>
        <v>#REF!</v>
      </c>
    </row>
    <row r="153" spans="1:38">
      <c r="A153" s="10" t="s">
        <v>54</v>
      </c>
      <c r="B153" s="161">
        <f>B137/D147/62.4</f>
        <v>1.4216294458229941</v>
      </c>
      <c r="C153" s="161">
        <f>C137/E147/62.4</f>
        <v>0.94871794871794879</v>
      </c>
      <c r="D153" s="161">
        <f>D137/F147/62.4</f>
        <v>3.0504807692307692</v>
      </c>
      <c r="E153" s="162">
        <f>SUM(B153:D153)</f>
        <v>5.4208281637717119</v>
      </c>
      <c r="F153" s="60"/>
      <c r="G153" s="60"/>
    </row>
    <row r="154" spans="1:38">
      <c r="A154" s="36" t="s">
        <v>61</v>
      </c>
      <c r="B154" s="162">
        <f>27-E150-E153</f>
        <v>1.2634969450816991</v>
      </c>
      <c r="C154" s="162"/>
      <c r="D154" s="162"/>
      <c r="E154" s="162"/>
      <c r="F154" s="60"/>
      <c r="G154" s="60"/>
    </row>
    <row r="155" spans="1:38">
      <c r="A155" t="s">
        <v>60</v>
      </c>
      <c r="B155" s="163">
        <f>B154/27</f>
        <v>4.6796183151174037E-2</v>
      </c>
    </row>
    <row r="158" spans="1:38">
      <c r="AF158" s="89" t="s">
        <v>42</v>
      </c>
      <c r="AG158" s="16" t="s">
        <v>28</v>
      </c>
      <c r="AH158" s="12"/>
      <c r="AJ158" s="16" t="s">
        <v>20</v>
      </c>
      <c r="AK158" s="34" t="s">
        <v>33</v>
      </c>
      <c r="AL158" s="34" t="s">
        <v>34</v>
      </c>
    </row>
    <row r="159" spans="1:38">
      <c r="AF159" s="16" t="s">
        <v>31</v>
      </c>
      <c r="AG159" s="88" t="e">
        <f>K145/K147</f>
        <v>#REF!</v>
      </c>
      <c r="AH159" s="12"/>
      <c r="AJ159" s="16">
        <v>14</v>
      </c>
      <c r="AK159" s="35">
        <v>275</v>
      </c>
      <c r="AL159" s="35">
        <v>148</v>
      </c>
    </row>
    <row r="160" spans="1:38">
      <c r="AF160" s="16" t="s">
        <v>32</v>
      </c>
      <c r="AG160" s="88" t="e">
        <f>(I147*100+2.5*((AK159+AL159)-564)/94)/100</f>
        <v>#REF!</v>
      </c>
    </row>
    <row r="162" spans="1:11">
      <c r="D162" s="146" t="s">
        <v>51</v>
      </c>
      <c r="E162" s="50"/>
      <c r="F162" s="51"/>
    </row>
    <row r="163" spans="1:11">
      <c r="A163" s="5" t="s">
        <v>17</v>
      </c>
      <c r="B163" s="5" t="s">
        <v>4</v>
      </c>
      <c r="C163" s="5" t="s">
        <v>18</v>
      </c>
      <c r="D163" s="8" t="s">
        <v>33</v>
      </c>
      <c r="E163" s="8" t="s">
        <v>55</v>
      </c>
      <c r="F163" s="125" t="s">
        <v>56</v>
      </c>
      <c r="H163" s="16" t="s">
        <v>20</v>
      </c>
      <c r="I163" s="166" t="s">
        <v>59</v>
      </c>
      <c r="J163" s="156" t="s">
        <v>57</v>
      </c>
      <c r="K163" s="152" t="s">
        <v>58</v>
      </c>
    </row>
    <row r="164" spans="1:11">
      <c r="A164" s="16">
        <v>2.65</v>
      </c>
      <c r="B164" s="16">
        <v>2.65</v>
      </c>
      <c r="C164" s="16">
        <v>2.65</v>
      </c>
      <c r="D164" s="16">
        <v>3.1</v>
      </c>
      <c r="E164" s="16">
        <v>2.5</v>
      </c>
      <c r="F164" s="148">
        <v>1</v>
      </c>
      <c r="H164" s="153">
        <v>15</v>
      </c>
      <c r="I164" s="167">
        <v>259.7</v>
      </c>
      <c r="J164" s="167">
        <v>139.80000000000001</v>
      </c>
      <c r="K164" s="167">
        <v>179.8</v>
      </c>
    </row>
    <row r="166" spans="1:11">
      <c r="H166" s="33" t="s">
        <v>30</v>
      </c>
      <c r="I166" s="30"/>
      <c r="J166" s="30"/>
      <c r="K166" s="20"/>
    </row>
    <row r="167" spans="1:11">
      <c r="A167" s="16" t="s">
        <v>20</v>
      </c>
      <c r="B167" s="5" t="s">
        <v>17</v>
      </c>
      <c r="C167" s="5" t="s">
        <v>4</v>
      </c>
      <c r="D167" s="5" t="s">
        <v>18</v>
      </c>
      <c r="E167" s="8" t="s">
        <v>19</v>
      </c>
      <c r="H167" s="28"/>
      <c r="I167" s="9"/>
      <c r="J167" s="32" t="s">
        <v>45</v>
      </c>
      <c r="K167" s="20"/>
    </row>
    <row r="168" spans="1:11" ht="18" customHeight="1">
      <c r="A168" s="16">
        <v>15</v>
      </c>
      <c r="B168" s="16">
        <v>1650.3</v>
      </c>
      <c r="C168" s="16">
        <v>473.6</v>
      </c>
      <c r="D168" s="16">
        <v>1283.9000000000001</v>
      </c>
      <c r="E168" s="16">
        <f>SUM(B168:D168)</f>
        <v>3407.8</v>
      </c>
      <c r="H168" s="11" t="s">
        <v>16</v>
      </c>
      <c r="I168" s="29" t="s">
        <v>26</v>
      </c>
      <c r="J168" s="29" t="s">
        <v>27</v>
      </c>
      <c r="K168" s="31" t="s">
        <v>29</v>
      </c>
    </row>
    <row r="169" spans="1:11">
      <c r="H169" s="24">
        <v>1.5</v>
      </c>
      <c r="I169" s="94" t="e">
        <f>B$171*'Tarantula Curve Mix Design'!#REF!+'Tarantula Curve Mix Design'!#REF!*C$171+D$171*'Tarantula Curve Mix Design'!#REF!</f>
        <v>#REF!</v>
      </c>
      <c r="J169" s="102" t="e">
        <f>1-I169</f>
        <v>#REF!</v>
      </c>
      <c r="K169" s="68" t="e">
        <f>J169</f>
        <v>#REF!</v>
      </c>
    </row>
    <row r="170" spans="1:11">
      <c r="B170" s="22" t="s">
        <v>24</v>
      </c>
      <c r="C170" s="44"/>
      <c r="D170" s="23"/>
      <c r="H170" s="24">
        <v>1</v>
      </c>
      <c r="I170" s="94" t="e">
        <f>B$171*'Tarantula Curve Mix Design'!#REF!+'Tarantula Curve Mix Design'!#REF!*C$171+D$171*'Tarantula Curve Mix Design'!#REF!</f>
        <v>#REF!</v>
      </c>
      <c r="J170" s="74" t="e">
        <f>I169-I170</f>
        <v>#REF!</v>
      </c>
      <c r="K170" s="69" t="e">
        <f>J169+J170</f>
        <v>#REF!</v>
      </c>
    </row>
    <row r="171" spans="1:11">
      <c r="B171" s="165">
        <f>B168/E168</f>
        <v>0.48427137742825277</v>
      </c>
      <c r="C171" s="165">
        <f>C168/E168</f>
        <v>0.13897529197722872</v>
      </c>
      <c r="D171" s="165">
        <f>D168/E168</f>
        <v>0.37675333059451849</v>
      </c>
      <c r="H171" s="25">
        <v>0.75</v>
      </c>
      <c r="I171" s="94" t="e">
        <f>B$171*'Tarantula Curve Mix Design'!#REF!+'Tarantula Curve Mix Design'!#REF!*C$171+D$171*'Tarantula Curve Mix Design'!#REF!</f>
        <v>#REF!</v>
      </c>
      <c r="J171" s="74" t="e">
        <f t="shared" ref="J171:J180" si="10">I170-I171</f>
        <v>#REF!</v>
      </c>
      <c r="K171" s="69" t="e">
        <f>J170+J171</f>
        <v>#REF!</v>
      </c>
    </row>
    <row r="172" spans="1:11">
      <c r="H172" s="25">
        <v>0.5</v>
      </c>
      <c r="I172" s="94" t="e">
        <f>B$171*'Tarantula Curve Mix Design'!#REF!+'Tarantula Curve Mix Design'!#REF!*C$171+D$171*'Tarantula Curve Mix Design'!#REF!</f>
        <v>#REF!</v>
      </c>
      <c r="J172" s="74" t="e">
        <f t="shared" si="10"/>
        <v>#REF!</v>
      </c>
      <c r="K172" s="69" t="e">
        <f>K171+J172</f>
        <v>#REF!</v>
      </c>
    </row>
    <row r="173" spans="1:11">
      <c r="A173" t="s">
        <v>64</v>
      </c>
      <c r="B173" s="168" t="s">
        <v>33</v>
      </c>
      <c r="C173" s="168" t="s">
        <v>55</v>
      </c>
      <c r="D173" s="68" t="s">
        <v>56</v>
      </c>
      <c r="E173" s="16" t="s">
        <v>65</v>
      </c>
      <c r="F173" s="16" t="s">
        <v>66</v>
      </c>
      <c r="H173" s="10">
        <v>0.375</v>
      </c>
      <c r="I173" s="94" t="e">
        <f>B$171*'Tarantula Curve Mix Design'!#REF!+'Tarantula Curve Mix Design'!#REF!*C$171+D$171*'Tarantula Curve Mix Design'!#REF!</f>
        <v>#REF!</v>
      </c>
      <c r="J173" s="74" t="e">
        <f t="shared" si="10"/>
        <v>#REF!</v>
      </c>
      <c r="K173" s="100" t="e">
        <f t="shared" ref="K173:K180" si="11">K172+J173</f>
        <v>#REF!</v>
      </c>
    </row>
    <row r="174" spans="1:11">
      <c r="A174" s="36" t="s">
        <v>63</v>
      </c>
      <c r="B174" s="161">
        <f>I164/D164/62.4</f>
        <v>1.3425351530190239</v>
      </c>
      <c r="C174" s="161">
        <f>J164/E164/62.4</f>
        <v>0.89615384615384619</v>
      </c>
      <c r="D174" s="161">
        <f>K164/F164/62.4</f>
        <v>2.8814102564102568</v>
      </c>
      <c r="E174" s="16">
        <f>4.5/100*27</f>
        <v>1.2149999999999999</v>
      </c>
      <c r="F174" s="161">
        <f>SUM(B174:E174)</f>
        <v>6.3350992555831267</v>
      </c>
      <c r="H174" s="26" t="s">
        <v>2</v>
      </c>
      <c r="I174" s="94" t="e">
        <f>B$171*'Tarantula Curve Mix Design'!#REF!+'Tarantula Curve Mix Design'!#REF!*C$171+D$171*'Tarantula Curve Mix Design'!#REF!</f>
        <v>#REF!</v>
      </c>
      <c r="J174" s="74" t="e">
        <f t="shared" si="10"/>
        <v>#REF!</v>
      </c>
      <c r="K174" s="69" t="e">
        <f t="shared" si="11"/>
        <v>#REF!</v>
      </c>
    </row>
    <row r="175" spans="1:11">
      <c r="H175" s="27" t="s">
        <v>5</v>
      </c>
      <c r="I175" s="128" t="e">
        <f>B$171*'Tarantula Curve Mix Design'!#REF!+'Tarantula Curve Mix Design'!#REF!*C$171+D$171*'Tarantula Curve Mix Design'!#REF!</f>
        <v>#REF!</v>
      </c>
      <c r="J175" s="74" t="e">
        <f t="shared" si="10"/>
        <v>#REF!</v>
      </c>
      <c r="K175" s="100" t="e">
        <f t="shared" si="11"/>
        <v>#REF!</v>
      </c>
    </row>
    <row r="176" spans="1:11">
      <c r="B176" s="16" t="s">
        <v>66</v>
      </c>
      <c r="C176" s="169" t="s">
        <v>17</v>
      </c>
      <c r="D176" s="5" t="s">
        <v>4</v>
      </c>
      <c r="E176" s="5" t="s">
        <v>18</v>
      </c>
      <c r="H176" s="27" t="s">
        <v>7</v>
      </c>
      <c r="I176" s="94" t="e">
        <f>B$171*'Tarantula Curve Mix Design'!C45+'Tarantula Curve Mix Design'!#REF!*C$171+D$171*'Tarantula Curve Mix Design'!#REF!</f>
        <v>#DIV/0!</v>
      </c>
      <c r="J176" s="74" t="e">
        <f t="shared" si="10"/>
        <v>#REF!</v>
      </c>
      <c r="K176" s="69" t="e">
        <f t="shared" si="11"/>
        <v>#REF!</v>
      </c>
    </row>
    <row r="177" spans="1:38">
      <c r="A177" t="s">
        <v>62</v>
      </c>
      <c r="B177" s="161">
        <f>27-F174</f>
        <v>20.664900744416872</v>
      </c>
      <c r="H177" s="27" t="s">
        <v>8</v>
      </c>
      <c r="I177" s="94" t="e">
        <f>B$171*'Tarantula Curve Mix Design'!C46+'Tarantula Curve Mix Design'!#REF!*C$171+D$171*'Tarantula Curve Mix Design'!#REF!</f>
        <v>#DIV/0!</v>
      </c>
      <c r="J177" s="74" t="e">
        <f t="shared" si="10"/>
        <v>#DIV/0!</v>
      </c>
      <c r="K177" s="69" t="e">
        <f t="shared" si="11"/>
        <v>#REF!</v>
      </c>
    </row>
    <row r="178" spans="1:38">
      <c r="H178" s="27" t="s">
        <v>9</v>
      </c>
      <c r="I178" s="94" t="e">
        <f>B$171*'Tarantula Curve Mix Design'!C47+'Tarantula Curve Mix Design'!#REF!*C$171+D$171*'Tarantula Curve Mix Design'!#REF!</f>
        <v>#DIV/0!</v>
      </c>
      <c r="J178" s="74" t="e">
        <f t="shared" si="10"/>
        <v>#DIV/0!</v>
      </c>
      <c r="K178" s="69" t="e">
        <f t="shared" si="11"/>
        <v>#REF!</v>
      </c>
    </row>
    <row r="179" spans="1:38">
      <c r="H179" s="27" t="s">
        <v>10</v>
      </c>
      <c r="I179" s="94" t="e">
        <f>B$171*'Tarantula Curve Mix Design'!C48+'Tarantula Curve Mix Design'!#REF!*C$171+D$171*'Tarantula Curve Mix Design'!#REF!</f>
        <v>#DIV/0!</v>
      </c>
      <c r="J179" s="74" t="e">
        <f t="shared" si="10"/>
        <v>#DIV/0!</v>
      </c>
      <c r="K179" s="69" t="e">
        <f t="shared" si="11"/>
        <v>#REF!</v>
      </c>
    </row>
    <row r="180" spans="1:38">
      <c r="H180" s="27" t="s">
        <v>12</v>
      </c>
      <c r="I180" s="94" t="e">
        <f>B$171*'Tarantula Curve Mix Design'!#REF!+'Tarantula Curve Mix Design'!#REF!*C$171+D$171*'Tarantula Curve Mix Design'!#REF!</f>
        <v>#REF!</v>
      </c>
      <c r="J180" s="74" t="e">
        <f t="shared" si="10"/>
        <v>#DIV/0!</v>
      </c>
      <c r="K180" s="94" t="e">
        <f t="shared" si="11"/>
        <v>#REF!</v>
      </c>
    </row>
    <row r="186" spans="1:38">
      <c r="AF186" s="89" t="s">
        <v>42</v>
      </c>
      <c r="AG186" s="16" t="s">
        <v>28</v>
      </c>
      <c r="AH186" s="12"/>
      <c r="AJ186" s="16" t="s">
        <v>20</v>
      </c>
      <c r="AK186" s="10" t="s">
        <v>33</v>
      </c>
      <c r="AL186" s="10" t="s">
        <v>34</v>
      </c>
    </row>
    <row r="187" spans="1:38">
      <c r="AF187" s="16" t="s">
        <v>31</v>
      </c>
      <c r="AG187" s="88" t="e">
        <f>K173/K175</f>
        <v>#REF!</v>
      </c>
      <c r="AH187" s="12"/>
      <c r="AJ187" s="16">
        <v>15</v>
      </c>
      <c r="AK187" s="35">
        <v>259.7</v>
      </c>
      <c r="AL187" s="35">
        <v>139.80000000000001</v>
      </c>
    </row>
    <row r="188" spans="1:38">
      <c r="AF188" s="16" t="s">
        <v>32</v>
      </c>
      <c r="AG188" s="88" t="e">
        <f>(I175*100+2.5*((AK187+AL187)-564)/94)/100</f>
        <v>#REF!</v>
      </c>
      <c r="AH188" s="12"/>
    </row>
    <row r="195" spans="1:71">
      <c r="H195" s="123" t="s">
        <v>30</v>
      </c>
      <c r="I195" s="50"/>
      <c r="J195" s="50"/>
      <c r="K195" s="51"/>
    </row>
    <row r="196" spans="1:71">
      <c r="A196" s="10" t="s">
        <v>20</v>
      </c>
      <c r="B196" s="5" t="s">
        <v>17</v>
      </c>
      <c r="C196" s="5" t="s">
        <v>4</v>
      </c>
      <c r="D196" s="5" t="s">
        <v>18</v>
      </c>
      <c r="E196" s="8" t="s">
        <v>19</v>
      </c>
      <c r="H196" s="28"/>
      <c r="I196" s="41"/>
      <c r="J196" s="41" t="s">
        <v>46</v>
      </c>
      <c r="K196" s="42"/>
    </row>
    <row r="197" spans="1:71" ht="27.5">
      <c r="A197" s="10">
        <v>17</v>
      </c>
      <c r="B197" s="10">
        <v>1913.6</v>
      </c>
      <c r="C197" s="10">
        <v>0</v>
      </c>
      <c r="D197" s="10">
        <v>1375</v>
      </c>
      <c r="E197" s="10">
        <f>SUM(B197:D197)</f>
        <v>3288.6</v>
      </c>
      <c r="H197" s="124" t="s">
        <v>16</v>
      </c>
      <c r="I197" s="122" t="s">
        <v>26</v>
      </c>
      <c r="J197" t="s">
        <v>27</v>
      </c>
      <c r="K197" s="10" t="s">
        <v>29</v>
      </c>
    </row>
    <row r="198" spans="1:71">
      <c r="H198" s="39">
        <v>1.5</v>
      </c>
      <c r="I198" s="69" t="e">
        <f>B$200*'Tarantula Curve Mix Design'!#REF!+'Tarantula Curve Mix Design'!#REF!*C$200+D$200*'Tarantula Curve Mix Design'!#REF!</f>
        <v>#REF!</v>
      </c>
      <c r="J198" s="102" t="e">
        <f>1-I198</f>
        <v>#REF!</v>
      </c>
      <c r="K198" s="68" t="e">
        <f>J198</f>
        <v>#REF!</v>
      </c>
    </row>
    <row r="199" spans="1:71">
      <c r="B199" s="22" t="s">
        <v>24</v>
      </c>
      <c r="C199" s="44"/>
      <c r="D199" s="23"/>
      <c r="H199" s="39">
        <v>1</v>
      </c>
      <c r="I199" s="69" t="e">
        <f>B$200*'Tarantula Curve Mix Design'!#REF!+'Tarantula Curve Mix Design'!#REF!*C$200+D$200*'Tarantula Curve Mix Design'!#REF!</f>
        <v>#REF!</v>
      </c>
      <c r="J199" s="74" t="e">
        <f>I198-I199</f>
        <v>#REF!</v>
      </c>
      <c r="K199" s="69" t="e">
        <f>K198+J199</f>
        <v>#REF!</v>
      </c>
    </row>
    <row r="200" spans="1:71">
      <c r="B200" s="164">
        <f>B197/E197</f>
        <v>0.58188894970504168</v>
      </c>
      <c r="C200" s="164">
        <f>C197/E197</f>
        <v>0</v>
      </c>
      <c r="D200" s="164">
        <f>D197/E197</f>
        <v>0.41811105029495838</v>
      </c>
      <c r="H200" s="39">
        <v>0.75</v>
      </c>
      <c r="I200" s="69" t="e">
        <f>B$200*'Tarantula Curve Mix Design'!#REF!+'Tarantula Curve Mix Design'!#REF!*C$200+D$200*'Tarantula Curve Mix Design'!#REF!</f>
        <v>#REF!</v>
      </c>
      <c r="J200" s="74" t="e">
        <f t="shared" ref="J200:J209" si="12">I199-I200</f>
        <v>#REF!</v>
      </c>
      <c r="K200" s="69" t="e">
        <f t="shared" ref="K200:K209" si="13">K199+J200</f>
        <v>#REF!</v>
      </c>
    </row>
    <row r="201" spans="1:71">
      <c r="H201" s="39">
        <v>0.5</v>
      </c>
      <c r="I201" s="69" t="e">
        <f>B$200*'Tarantula Curve Mix Design'!#REF!+'Tarantula Curve Mix Design'!#REF!*C$200+D$200*'Tarantula Curve Mix Design'!#REF!</f>
        <v>#REF!</v>
      </c>
      <c r="J201" s="74" t="e">
        <f t="shared" si="12"/>
        <v>#REF!</v>
      </c>
      <c r="K201" s="69" t="e">
        <f t="shared" si="13"/>
        <v>#REF!</v>
      </c>
    </row>
    <row r="202" spans="1:71">
      <c r="H202" s="39">
        <v>0.375</v>
      </c>
      <c r="I202" s="69" t="e">
        <f>B$200*'Tarantula Curve Mix Design'!#REF!+'Tarantula Curve Mix Design'!#REF!*C$200+D$200*'Tarantula Curve Mix Design'!#REF!</f>
        <v>#REF!</v>
      </c>
      <c r="J202" s="74" t="e">
        <f t="shared" si="12"/>
        <v>#REF!</v>
      </c>
      <c r="K202" s="100" t="e">
        <f t="shared" si="13"/>
        <v>#REF!</v>
      </c>
    </row>
    <row r="203" spans="1:71">
      <c r="H203" s="39" t="s">
        <v>2</v>
      </c>
      <c r="I203" s="69" t="e">
        <f>B$200*'Tarantula Curve Mix Design'!#REF!+'Tarantula Curve Mix Design'!#REF!*C$200+D$200*'Tarantula Curve Mix Design'!#REF!</f>
        <v>#REF!</v>
      </c>
      <c r="J203" s="74" t="e">
        <f t="shared" si="12"/>
        <v>#REF!</v>
      </c>
      <c r="K203" s="69" t="e">
        <f t="shared" si="13"/>
        <v>#REF!</v>
      </c>
    </row>
    <row r="204" spans="1:71">
      <c r="H204" s="39" t="s">
        <v>5</v>
      </c>
      <c r="I204" s="103" t="e">
        <f>B$200*'Tarantula Curve Mix Design'!#REF!+'Tarantula Curve Mix Design'!#REF!*C$200+D$200*'Tarantula Curve Mix Design'!#REF!</f>
        <v>#REF!</v>
      </c>
      <c r="J204" s="74" t="e">
        <f t="shared" si="12"/>
        <v>#REF!</v>
      </c>
      <c r="K204" s="100" t="e">
        <f t="shared" si="13"/>
        <v>#REF!</v>
      </c>
    </row>
    <row r="205" spans="1:71">
      <c r="H205" s="39" t="s">
        <v>7</v>
      </c>
      <c r="I205" s="69" t="e">
        <f>B$200*'Tarantula Curve Mix Design'!C45+'Tarantula Curve Mix Design'!#REF!*C$200+D$200*'Tarantula Curve Mix Design'!#REF!</f>
        <v>#DIV/0!</v>
      </c>
      <c r="J205" s="74" t="e">
        <f t="shared" si="12"/>
        <v>#REF!</v>
      </c>
      <c r="K205" s="69" t="e">
        <f t="shared" si="13"/>
        <v>#REF!</v>
      </c>
    </row>
    <row r="206" spans="1:71">
      <c r="H206" s="39" t="s">
        <v>8</v>
      </c>
      <c r="I206" s="69" t="e">
        <f>B$200*'Tarantula Curve Mix Design'!C46+'Tarantula Curve Mix Design'!#REF!*C$200+D$200*'Tarantula Curve Mix Design'!#REF!</f>
        <v>#DIV/0!</v>
      </c>
      <c r="J206" s="74" t="e">
        <f t="shared" si="12"/>
        <v>#DIV/0!</v>
      </c>
      <c r="K206" s="69" t="e">
        <f t="shared" si="13"/>
        <v>#REF!</v>
      </c>
    </row>
    <row r="207" spans="1:71">
      <c r="H207" s="39" t="s">
        <v>9</v>
      </c>
      <c r="I207" s="69" t="e">
        <f>B$200*'Tarantula Curve Mix Design'!C47+'Tarantula Curve Mix Design'!#REF!*C$200+D$200*'Tarantula Curve Mix Design'!#REF!</f>
        <v>#DIV/0!</v>
      </c>
      <c r="J207" s="74" t="e">
        <f t="shared" si="12"/>
        <v>#DIV/0!</v>
      </c>
      <c r="K207" s="69" t="e">
        <f t="shared" si="13"/>
        <v>#REF!</v>
      </c>
      <c r="BQ207" s="12"/>
      <c r="BR207" s="12"/>
      <c r="BS207" s="12"/>
    </row>
    <row r="208" spans="1:71">
      <c r="H208" s="39" t="s">
        <v>10</v>
      </c>
      <c r="I208" s="69" t="e">
        <f>B$200*'Tarantula Curve Mix Design'!C48+'Tarantula Curve Mix Design'!#REF!*C$200+D$200*'Tarantula Curve Mix Design'!#REF!</f>
        <v>#DIV/0!</v>
      </c>
      <c r="J208" s="74" t="e">
        <f t="shared" si="12"/>
        <v>#DIV/0!</v>
      </c>
      <c r="K208" s="69" t="e">
        <f t="shared" si="13"/>
        <v>#REF!</v>
      </c>
      <c r="BQ208" s="12"/>
      <c r="BR208" s="58"/>
      <c r="BS208" s="58"/>
    </row>
    <row r="209" spans="1:111">
      <c r="H209" s="40" t="s">
        <v>12</v>
      </c>
      <c r="I209" s="69" t="e">
        <f>B$200*'Tarantula Curve Mix Design'!#REF!+'Tarantula Curve Mix Design'!#REF!*C$200+D$200*'Tarantula Curve Mix Design'!#REF!</f>
        <v>#REF!</v>
      </c>
      <c r="J209" s="74" t="e">
        <f t="shared" si="12"/>
        <v>#DIV/0!</v>
      </c>
      <c r="K209" s="69" t="e">
        <f t="shared" si="13"/>
        <v>#REF!</v>
      </c>
      <c r="BQ209" s="301"/>
      <c r="BR209" s="14"/>
      <c r="BS209" s="12"/>
    </row>
    <row r="210" spans="1:111">
      <c r="BQ210" s="58"/>
      <c r="BR210" s="14"/>
      <c r="BS210" s="12"/>
    </row>
    <row r="211" spans="1:111">
      <c r="BQ211" s="58"/>
      <c r="BR211" s="1"/>
      <c r="BS211" s="12"/>
    </row>
    <row r="212" spans="1:111">
      <c r="BJ212" s="56"/>
      <c r="BK212" s="56"/>
      <c r="BL212" s="56"/>
      <c r="BM212" s="56"/>
      <c r="BN212" s="56"/>
      <c r="BO212" s="56"/>
      <c r="BP212" s="56"/>
      <c r="BQ212" s="93"/>
      <c r="BR212" s="1"/>
      <c r="BS212" s="56"/>
      <c r="BT212" s="56"/>
      <c r="BU212" s="56"/>
      <c r="BV212" s="56"/>
      <c r="BW212" s="56"/>
      <c r="BX212" s="56"/>
      <c r="BY212" s="56"/>
      <c r="BZ212" s="56"/>
      <c r="CA212" s="56"/>
      <c r="CB212" s="56"/>
      <c r="CC212" s="56"/>
      <c r="CD212" s="56"/>
      <c r="CE212" s="56"/>
      <c r="CF212" s="56"/>
      <c r="CG212" s="56"/>
      <c r="CH212" s="56"/>
      <c r="CI212" s="56"/>
      <c r="CJ212" s="56"/>
      <c r="CK212" s="56"/>
      <c r="CL212" s="56"/>
      <c r="CM212" s="56"/>
      <c r="CN212" s="56"/>
      <c r="CO212" s="56"/>
      <c r="CP212" s="56"/>
      <c r="CQ212" s="56"/>
      <c r="CR212" s="56"/>
      <c r="CS212" s="56"/>
      <c r="CT212" s="56"/>
      <c r="CU212" s="56"/>
      <c r="CV212" s="56"/>
      <c r="CW212" s="56"/>
      <c r="CX212" s="56"/>
      <c r="CY212" s="56"/>
      <c r="CZ212" s="56"/>
      <c r="DA212" s="56"/>
      <c r="DB212" s="56"/>
      <c r="DC212" s="56"/>
      <c r="DD212" s="56"/>
      <c r="DE212" s="56"/>
      <c r="DF212" s="56"/>
      <c r="DG212" s="56"/>
    </row>
    <row r="213" spans="1:111">
      <c r="BJ213" s="56"/>
      <c r="BK213" s="56"/>
      <c r="BL213" s="56"/>
      <c r="BM213" s="56"/>
      <c r="BN213" s="56"/>
      <c r="BO213" s="56"/>
      <c r="BP213" s="56"/>
      <c r="BQ213" s="93"/>
      <c r="BR213" s="56"/>
      <c r="BS213" s="56"/>
      <c r="BT213" s="56"/>
      <c r="BU213" s="56"/>
      <c r="BV213" s="56"/>
      <c r="BW213" s="56"/>
      <c r="BX213" s="56"/>
      <c r="BY213" s="56"/>
      <c r="BZ213" s="56"/>
      <c r="CA213" s="56"/>
      <c r="CB213" s="56"/>
      <c r="CC213" s="56"/>
      <c r="CD213" s="56"/>
      <c r="CE213" s="56"/>
      <c r="CF213" s="56"/>
      <c r="CG213" s="56"/>
      <c r="CH213" s="56"/>
      <c r="CI213" s="56"/>
      <c r="CJ213" s="56"/>
      <c r="CK213" s="56"/>
      <c r="CL213" s="56"/>
      <c r="CM213" s="56"/>
      <c r="CN213" s="56"/>
      <c r="CO213" s="56"/>
      <c r="CP213" s="56"/>
      <c r="CQ213" s="56"/>
      <c r="CR213" s="56"/>
      <c r="CS213" s="56"/>
      <c r="CT213" s="56"/>
      <c r="CU213" s="56"/>
      <c r="CV213" s="56"/>
      <c r="CW213" s="56"/>
      <c r="CX213" s="56"/>
      <c r="CY213" s="56"/>
      <c r="CZ213" s="56"/>
      <c r="DA213" s="56"/>
      <c r="DB213" s="56"/>
      <c r="DC213" s="56"/>
      <c r="DD213" s="56"/>
      <c r="DE213" s="56"/>
      <c r="DF213" s="56"/>
      <c r="DG213" s="56"/>
    </row>
    <row r="214" spans="1:111">
      <c r="BJ214" s="56"/>
      <c r="BK214" s="56"/>
      <c r="BL214" s="56"/>
      <c r="BM214" s="56"/>
      <c r="BN214" s="56"/>
      <c r="BO214" s="56"/>
      <c r="BP214" s="56"/>
      <c r="BQ214" s="175"/>
      <c r="BR214" s="56"/>
      <c r="BS214" s="56"/>
      <c r="BT214" s="56"/>
      <c r="BU214" s="56"/>
      <c r="BV214" s="56"/>
      <c r="BW214" s="56"/>
      <c r="BX214" s="56"/>
      <c r="BY214" s="56"/>
      <c r="BZ214" s="56"/>
      <c r="CA214" s="56"/>
      <c r="CB214" s="56"/>
      <c r="CC214" s="56"/>
      <c r="CD214" s="56"/>
      <c r="CE214" s="56"/>
      <c r="CF214" s="56"/>
      <c r="CG214" s="56"/>
      <c r="CH214" s="56"/>
      <c r="CI214" s="56"/>
      <c r="CJ214" s="56"/>
      <c r="CK214" s="56"/>
      <c r="CL214" s="56"/>
      <c r="CM214" s="56"/>
      <c r="CN214" s="56"/>
      <c r="CO214" s="56"/>
      <c r="CP214" s="56"/>
      <c r="CQ214" s="56"/>
      <c r="CR214" s="56"/>
      <c r="CS214" s="56"/>
      <c r="CT214" s="56"/>
      <c r="CU214" s="56"/>
      <c r="CV214" s="56"/>
      <c r="CW214" s="56"/>
      <c r="CX214" s="56"/>
      <c r="CY214" s="56"/>
      <c r="CZ214" s="56"/>
      <c r="DA214" s="56"/>
      <c r="DB214" s="56"/>
      <c r="DC214" s="56"/>
      <c r="DD214" s="56"/>
      <c r="DE214" s="56"/>
      <c r="DF214" s="56"/>
      <c r="DG214" s="56"/>
    </row>
    <row r="215" spans="1:111">
      <c r="AF215" s="16" t="s">
        <v>42</v>
      </c>
      <c r="AG215" s="16" t="s">
        <v>28</v>
      </c>
      <c r="AH215" s="12"/>
      <c r="AJ215" s="16" t="s">
        <v>20</v>
      </c>
      <c r="AK215" s="10" t="s">
        <v>33</v>
      </c>
      <c r="AL215" s="10" t="s">
        <v>34</v>
      </c>
      <c r="BJ215" s="56"/>
      <c r="BK215" s="56"/>
      <c r="BL215" s="56"/>
      <c r="BM215" s="56"/>
      <c r="BN215" s="56"/>
      <c r="BO215" s="56"/>
      <c r="BP215" s="56"/>
      <c r="BQ215" s="93"/>
      <c r="BR215" s="56"/>
      <c r="BS215" s="56"/>
      <c r="BT215" s="56"/>
      <c r="BU215" s="56"/>
      <c r="BV215" s="56"/>
      <c r="BW215" s="56"/>
      <c r="BX215" s="56"/>
      <c r="BY215" s="56"/>
      <c r="BZ215" s="56"/>
      <c r="CA215" s="56"/>
      <c r="CB215" s="56"/>
      <c r="CC215" s="56"/>
      <c r="CD215" s="56"/>
      <c r="CE215" s="56"/>
      <c r="CF215" s="56"/>
      <c r="CG215" s="56"/>
      <c r="CH215" s="56"/>
      <c r="CI215" s="56"/>
      <c r="CJ215" s="56"/>
      <c r="CK215" s="56"/>
      <c r="CL215" s="56"/>
      <c r="CM215" s="56"/>
      <c r="CN215" s="56"/>
      <c r="CO215" s="56"/>
      <c r="CP215" s="56"/>
      <c r="CQ215" s="56"/>
      <c r="CR215" s="56"/>
      <c r="CS215" s="56"/>
      <c r="CT215" s="56"/>
      <c r="CU215" s="56"/>
      <c r="CV215" s="56"/>
      <c r="CW215" s="56"/>
      <c r="CX215" s="56"/>
      <c r="CY215" s="56"/>
      <c r="CZ215" s="56"/>
      <c r="DA215" s="56"/>
      <c r="DB215" s="56"/>
      <c r="DC215" s="56"/>
      <c r="DD215" s="56"/>
      <c r="DE215" s="56"/>
      <c r="DF215" s="56"/>
      <c r="DG215" s="56"/>
    </row>
    <row r="216" spans="1:111">
      <c r="AF216" s="16" t="s">
        <v>31</v>
      </c>
      <c r="AG216" s="88" t="e">
        <f>K202/K204</f>
        <v>#REF!</v>
      </c>
      <c r="AH216" s="12"/>
      <c r="AJ216" s="16">
        <v>17</v>
      </c>
      <c r="AK216" s="35">
        <v>305.5</v>
      </c>
      <c r="AL216" s="35">
        <v>164.5</v>
      </c>
      <c r="BJ216" s="56"/>
      <c r="BK216" s="56"/>
      <c r="BL216" s="56"/>
      <c r="BM216" s="56"/>
      <c r="BN216" s="56"/>
      <c r="BO216" s="56"/>
      <c r="BP216" s="56"/>
      <c r="BQ216" s="93"/>
      <c r="BR216" s="56"/>
      <c r="BS216" s="56"/>
      <c r="BT216" s="56"/>
      <c r="BU216" s="56"/>
      <c r="BV216" s="56"/>
      <c r="BW216" s="56"/>
      <c r="BX216" s="56"/>
      <c r="BY216" s="56"/>
      <c r="BZ216" s="56"/>
      <c r="CA216" s="56"/>
      <c r="CB216" s="56"/>
      <c r="CC216" s="56"/>
      <c r="CD216" s="56"/>
      <c r="CE216" s="56"/>
      <c r="CF216" s="56"/>
      <c r="CG216" s="56"/>
      <c r="CH216" s="56"/>
      <c r="CI216" s="56"/>
      <c r="CJ216" s="56"/>
      <c r="CK216" s="56"/>
      <c r="CL216" s="56"/>
      <c r="CM216" s="56"/>
      <c r="CN216" s="56"/>
      <c r="CO216" s="56"/>
      <c r="CP216" s="56"/>
      <c r="CQ216" s="56"/>
      <c r="CR216" s="56"/>
      <c r="CS216" s="56"/>
      <c r="CT216" s="56"/>
      <c r="CU216" s="56"/>
      <c r="CV216" s="56"/>
      <c r="CW216" s="56"/>
      <c r="CX216" s="56"/>
      <c r="CY216" s="56"/>
      <c r="CZ216" s="56"/>
      <c r="DA216" s="56"/>
      <c r="DB216" s="56"/>
      <c r="DC216" s="56"/>
      <c r="DD216" s="56"/>
      <c r="DE216" s="56"/>
      <c r="DF216" s="56"/>
      <c r="DG216" s="56"/>
    </row>
    <row r="217" spans="1:111">
      <c r="AF217" s="16" t="s">
        <v>32</v>
      </c>
      <c r="AG217" s="88" t="e">
        <f>(I204*100+2.5*((AK216+AL216)-564)/94)/100</f>
        <v>#REF!</v>
      </c>
      <c r="AH217" s="12"/>
      <c r="BJ217" s="56"/>
      <c r="BK217" s="56"/>
      <c r="BL217" s="56"/>
      <c r="BM217" s="56"/>
      <c r="BN217" s="56"/>
      <c r="BO217" s="56"/>
      <c r="BP217" s="56"/>
      <c r="BQ217" s="93"/>
      <c r="BR217" s="56"/>
      <c r="BS217" s="56"/>
      <c r="BT217" s="56"/>
      <c r="BU217" s="56"/>
      <c r="BV217" s="56"/>
      <c r="BW217" s="56"/>
      <c r="BX217" s="56"/>
      <c r="BY217" s="56"/>
      <c r="BZ217" s="56"/>
      <c r="CA217" s="56"/>
      <c r="CB217" s="56"/>
      <c r="CC217" s="56"/>
      <c r="CD217" s="56"/>
      <c r="CE217" s="56"/>
      <c r="CF217" s="56"/>
      <c r="CG217" s="56"/>
      <c r="CH217" s="56"/>
      <c r="CI217" s="56"/>
      <c r="CJ217" s="56"/>
      <c r="CK217" s="56"/>
      <c r="CL217" s="56"/>
      <c r="CM217" s="56"/>
      <c r="CN217" s="56"/>
      <c r="CO217" s="56"/>
      <c r="CP217" s="56"/>
      <c r="CQ217" s="56"/>
      <c r="CR217" s="56"/>
      <c r="CS217" s="56"/>
      <c r="CT217" s="56"/>
      <c r="CU217" s="56"/>
      <c r="CV217" s="56"/>
      <c r="CW217" s="56"/>
      <c r="CX217" s="56"/>
      <c r="CY217" s="56"/>
      <c r="CZ217" s="56"/>
      <c r="DA217" s="56"/>
      <c r="DB217" s="56"/>
      <c r="DC217" s="56"/>
      <c r="DD217" s="56"/>
      <c r="DE217" s="56"/>
      <c r="DF217" s="56"/>
      <c r="DG217" s="56"/>
    </row>
    <row r="218" spans="1:111">
      <c r="BJ218" s="56"/>
      <c r="BK218" s="56"/>
      <c r="BL218" s="56"/>
      <c r="BM218" s="56"/>
      <c r="BN218" s="56"/>
      <c r="BO218" s="56"/>
      <c r="BP218" s="56"/>
      <c r="BQ218" s="93"/>
      <c r="BR218" s="56"/>
      <c r="BS218" s="56"/>
      <c r="BT218" s="56"/>
      <c r="BU218" s="56"/>
      <c r="BV218" s="56"/>
      <c r="BW218" s="56"/>
      <c r="BX218" s="56"/>
      <c r="BY218" s="56"/>
      <c r="BZ218" s="56"/>
      <c r="CA218" s="56"/>
      <c r="CB218" s="56"/>
      <c r="CC218" s="56"/>
      <c r="CD218" s="56"/>
      <c r="CE218" s="56"/>
      <c r="CF218" s="56"/>
      <c r="CG218" s="56"/>
      <c r="CH218" s="56"/>
      <c r="CI218" s="56"/>
      <c r="CJ218" s="56"/>
      <c r="CK218" s="56"/>
      <c r="CL218" s="56"/>
      <c r="CM218" s="56"/>
      <c r="CN218" s="56"/>
      <c r="CO218" s="56"/>
      <c r="CP218" s="56"/>
      <c r="CQ218" s="56"/>
      <c r="CR218" s="56"/>
      <c r="CS218" s="56"/>
      <c r="CT218" s="56"/>
      <c r="CU218" s="56"/>
      <c r="CV218" s="56"/>
      <c r="CW218" s="56"/>
      <c r="CX218" s="56"/>
      <c r="CY218" s="56"/>
      <c r="CZ218" s="56"/>
      <c r="DA218" s="56"/>
      <c r="DB218" s="56"/>
      <c r="DC218" s="56"/>
      <c r="DD218" s="56"/>
      <c r="DE218" s="56"/>
      <c r="DF218" s="56"/>
      <c r="DG218" s="56"/>
    </row>
    <row r="219" spans="1:111" ht="21">
      <c r="BJ219" s="56"/>
      <c r="BK219" s="56"/>
      <c r="BL219" s="56"/>
      <c r="BM219" s="56"/>
      <c r="BN219" s="56"/>
      <c r="BO219" s="56"/>
      <c r="BP219" s="56"/>
      <c r="BQ219" s="93"/>
      <c r="BR219" s="56"/>
      <c r="BS219" s="56"/>
      <c r="BT219" s="56"/>
      <c r="BU219" s="56"/>
      <c r="BV219" s="56"/>
      <c r="BW219" s="56"/>
      <c r="BX219" s="56"/>
      <c r="BY219" s="56"/>
      <c r="BZ219" s="56"/>
      <c r="CA219" s="56"/>
      <c r="CB219" s="56"/>
      <c r="CC219" s="56"/>
      <c r="CD219" s="56"/>
      <c r="CE219" s="56"/>
      <c r="CF219" s="56"/>
      <c r="CG219" s="56"/>
      <c r="CH219" s="56"/>
      <c r="CI219" s="56"/>
      <c r="CJ219" s="56"/>
      <c r="CK219" s="56"/>
      <c r="CL219" s="56"/>
      <c r="CM219" s="56"/>
      <c r="CN219" s="56"/>
      <c r="CO219" s="56"/>
      <c r="CP219" s="370"/>
      <c r="CQ219" s="370"/>
      <c r="CR219" s="56"/>
      <c r="CS219" s="56"/>
      <c r="CT219" s="56"/>
      <c r="CU219" s="56"/>
      <c r="CV219" s="56"/>
      <c r="CW219" s="56"/>
      <c r="CX219" s="56"/>
      <c r="CY219" s="56"/>
      <c r="CZ219" s="56"/>
      <c r="DA219" s="56"/>
      <c r="DB219" s="56"/>
      <c r="DC219" s="56"/>
      <c r="DD219" s="56"/>
      <c r="DE219" s="56"/>
      <c r="DF219" s="56"/>
      <c r="DG219" s="56"/>
    </row>
    <row r="220" spans="1:111" ht="31.5" customHeight="1">
      <c r="BJ220" s="56"/>
      <c r="BK220" s="56"/>
      <c r="BL220" s="56"/>
      <c r="BM220" s="371"/>
      <c r="BN220" s="371"/>
      <c r="BO220" s="56"/>
      <c r="BP220" s="56"/>
      <c r="BQ220" s="56"/>
      <c r="BR220" s="56"/>
      <c r="BS220" s="56"/>
      <c r="BT220" s="56"/>
      <c r="BU220" s="56"/>
      <c r="BV220" s="56"/>
      <c r="BW220" s="56"/>
      <c r="BX220" s="56"/>
      <c r="BY220" s="56"/>
      <c r="BZ220" s="56"/>
      <c r="CA220" s="56"/>
      <c r="CB220" s="56"/>
      <c r="CC220" s="56"/>
      <c r="CD220" s="56"/>
      <c r="CE220" s="56"/>
      <c r="CF220" s="56"/>
      <c r="CG220" s="56"/>
      <c r="CH220" s="56"/>
      <c r="CI220" s="56"/>
      <c r="CJ220" s="56"/>
      <c r="CK220" s="56"/>
      <c r="CL220" s="56"/>
      <c r="CM220" s="56"/>
      <c r="CN220" s="56"/>
      <c r="CO220" s="56"/>
      <c r="CP220" s="56"/>
      <c r="CQ220" s="56"/>
      <c r="CR220" s="56"/>
      <c r="CS220" s="56"/>
      <c r="CT220" s="372"/>
      <c r="CU220" s="56"/>
      <c r="CV220" s="56"/>
      <c r="CW220" s="56"/>
      <c r="CX220" s="56"/>
      <c r="CY220" s="56"/>
      <c r="CZ220" s="56"/>
      <c r="DA220" s="56"/>
      <c r="DB220" s="56"/>
      <c r="DC220" s="56"/>
      <c r="DD220" s="56"/>
      <c r="DE220" s="56"/>
      <c r="DF220" s="56"/>
      <c r="DG220" s="56"/>
    </row>
    <row r="221" spans="1:111">
      <c r="BJ221" s="56"/>
      <c r="BK221" s="56"/>
      <c r="BL221" s="56"/>
      <c r="BM221" s="56"/>
      <c r="BN221" s="56"/>
      <c r="BO221" s="56"/>
      <c r="BP221" s="56"/>
      <c r="BQ221" s="56"/>
      <c r="BR221" s="56"/>
      <c r="BS221" s="56"/>
      <c r="BT221" s="56"/>
      <c r="BU221" s="56"/>
      <c r="BV221" s="56"/>
      <c r="BW221" s="56"/>
      <c r="BX221" s="56"/>
      <c r="BY221" s="56"/>
      <c r="BZ221" s="56"/>
      <c r="CA221" s="56"/>
      <c r="CB221" s="56"/>
      <c r="CC221" s="56"/>
      <c r="CD221" s="56"/>
      <c r="CE221" s="56"/>
      <c r="CF221" s="56"/>
      <c r="CG221" s="56"/>
      <c r="CH221" s="56"/>
      <c r="CI221" s="56"/>
      <c r="CJ221" s="56"/>
      <c r="CK221" s="56"/>
      <c r="CL221" s="56"/>
      <c r="CM221" s="56"/>
      <c r="CN221" s="56"/>
      <c r="CO221" s="56"/>
      <c r="CP221" s="56"/>
      <c r="CQ221" s="373"/>
      <c r="CR221" s="56"/>
      <c r="CS221" s="56"/>
      <c r="CT221" s="56"/>
      <c r="CU221" s="56"/>
      <c r="CV221" s="56"/>
      <c r="CW221" s="56"/>
      <c r="CX221" s="56"/>
      <c r="CY221" s="56"/>
      <c r="CZ221" s="56"/>
      <c r="DA221" s="56"/>
      <c r="DB221" s="56"/>
      <c r="DC221" s="56"/>
      <c r="DD221" s="56"/>
      <c r="DE221" s="56"/>
      <c r="DF221" s="56"/>
      <c r="DG221" s="56"/>
    </row>
    <row r="222" spans="1:111">
      <c r="BJ222" s="56"/>
      <c r="BK222" s="56"/>
      <c r="BL222" s="56"/>
      <c r="BM222" s="56"/>
      <c r="BN222" s="56"/>
      <c r="BO222" s="56"/>
      <c r="BP222" s="56"/>
      <c r="BQ222" s="56"/>
      <c r="BR222" s="56"/>
      <c r="BS222" s="56"/>
      <c r="BT222" s="56"/>
      <c r="BU222" s="56"/>
      <c r="BV222" s="56"/>
      <c r="BW222" s="56"/>
      <c r="BX222" s="56"/>
      <c r="BY222" s="56"/>
      <c r="BZ222" s="56"/>
      <c r="CA222" s="56"/>
      <c r="CB222" s="56"/>
      <c r="CC222" s="56"/>
      <c r="CD222" s="56"/>
      <c r="CE222" s="56"/>
      <c r="CF222" s="56"/>
      <c r="CG222" s="56"/>
      <c r="CH222" s="56"/>
      <c r="CI222" s="56"/>
      <c r="CJ222" s="56"/>
      <c r="CK222" s="56"/>
      <c r="CL222" s="56"/>
      <c r="CM222" s="56"/>
      <c r="CN222" s="56"/>
      <c r="CO222" s="56"/>
      <c r="CP222" s="56"/>
      <c r="CQ222" s="56"/>
      <c r="CR222" s="56"/>
      <c r="CS222" s="56"/>
      <c r="CT222" s="56"/>
      <c r="CU222" s="56"/>
      <c r="CV222" s="56"/>
      <c r="CW222" s="56"/>
      <c r="CX222" s="56"/>
      <c r="CY222" s="56"/>
      <c r="CZ222" s="56"/>
      <c r="DA222" s="56"/>
      <c r="DB222" s="56"/>
      <c r="DC222" s="56"/>
      <c r="DD222" s="56"/>
      <c r="DE222" s="56"/>
      <c r="DF222" s="56"/>
      <c r="DG222" s="56"/>
    </row>
    <row r="223" spans="1:111">
      <c r="H223" s="33" t="s">
        <v>30</v>
      </c>
      <c r="I223" s="48"/>
      <c r="J223" s="48"/>
      <c r="K223" s="49"/>
      <c r="BJ223" s="56"/>
      <c r="BK223" s="56"/>
      <c r="BL223" s="56"/>
      <c r="BM223" s="56"/>
      <c r="BN223" s="56"/>
      <c r="BO223" s="56"/>
      <c r="BP223" s="56"/>
      <c r="BQ223" s="56"/>
      <c r="BR223" s="374"/>
      <c r="BS223" s="181"/>
      <c r="BT223" s="56"/>
      <c r="BU223" s="56"/>
      <c r="BV223" s="56"/>
      <c r="BW223" s="298"/>
      <c r="BX223" s="298"/>
      <c r="BY223" s="56"/>
      <c r="BZ223" s="56"/>
      <c r="CA223" s="56"/>
      <c r="CB223" s="56"/>
      <c r="CC223" s="56"/>
      <c r="CD223" s="56"/>
      <c r="CE223" s="56"/>
      <c r="CF223" s="56"/>
      <c r="CG223" s="56"/>
      <c r="CH223" s="56"/>
      <c r="CI223" s="56"/>
      <c r="CJ223" s="56"/>
      <c r="CK223" s="56"/>
      <c r="CL223" s="56"/>
      <c r="CM223" s="56"/>
      <c r="CN223" s="56"/>
      <c r="CO223" s="56"/>
      <c r="CP223" s="56"/>
      <c r="CQ223" s="373"/>
      <c r="CR223" s="56"/>
      <c r="CS223" s="56"/>
      <c r="CT223" s="56"/>
      <c r="CU223" s="56"/>
      <c r="CV223" s="56"/>
      <c r="CW223" s="56"/>
      <c r="CX223" s="56"/>
      <c r="CY223" s="56"/>
      <c r="CZ223" s="56"/>
      <c r="DA223" s="56"/>
      <c r="DB223" s="56"/>
      <c r="DC223" s="56"/>
      <c r="DD223" s="56"/>
      <c r="DE223" s="56"/>
      <c r="DF223" s="56"/>
      <c r="DG223" s="56"/>
    </row>
    <row r="224" spans="1:111">
      <c r="A224" s="10" t="s">
        <v>20</v>
      </c>
      <c r="B224" s="5" t="s">
        <v>17</v>
      </c>
      <c r="C224" s="5" t="s">
        <v>4</v>
      </c>
      <c r="D224" s="5" t="s">
        <v>18</v>
      </c>
      <c r="E224" s="8" t="s">
        <v>19</v>
      </c>
      <c r="H224" s="28"/>
      <c r="I224" s="43"/>
      <c r="J224" s="43" t="s">
        <v>47</v>
      </c>
      <c r="K224" s="21"/>
      <c r="BJ224" s="56"/>
      <c r="BK224" s="93"/>
      <c r="BL224" s="93"/>
      <c r="BM224" s="375"/>
      <c r="BN224" s="127"/>
      <c r="BO224" s="56"/>
      <c r="BP224" s="93"/>
      <c r="BQ224" s="93"/>
      <c r="BR224" s="375"/>
      <c r="BS224" s="127"/>
      <c r="BT224" s="56"/>
      <c r="BU224" s="93"/>
      <c r="BV224" s="93"/>
      <c r="BW224" s="375"/>
      <c r="BX224" s="127"/>
      <c r="BY224" s="56"/>
      <c r="BZ224" s="56"/>
      <c r="CA224" s="93"/>
      <c r="CB224" s="93"/>
      <c r="CC224" s="56"/>
      <c r="CD224" s="56"/>
      <c r="CE224" s="56"/>
      <c r="CF224" s="56"/>
      <c r="CG224" s="56"/>
      <c r="CH224" s="56"/>
      <c r="CI224" s="56"/>
      <c r="CJ224" s="56"/>
      <c r="CK224" s="56"/>
      <c r="CL224" s="56"/>
      <c r="CM224" s="56"/>
      <c r="CN224" s="56"/>
      <c r="CO224" s="56"/>
      <c r="CP224" s="56"/>
      <c r="CQ224" s="56"/>
      <c r="CR224" s="56"/>
      <c r="CS224" s="56"/>
      <c r="CT224" s="56"/>
      <c r="CU224" s="56"/>
      <c r="CV224" s="56"/>
      <c r="CW224" s="56"/>
      <c r="CX224" s="56"/>
      <c r="CY224" s="56"/>
      <c r="CZ224" s="56"/>
      <c r="DA224" s="56"/>
      <c r="DB224" s="56"/>
      <c r="DC224" s="56"/>
      <c r="DD224" s="56"/>
      <c r="DE224" s="56"/>
      <c r="DF224" s="56"/>
      <c r="DG224" s="56"/>
    </row>
    <row r="225" spans="1:111" ht="27.5">
      <c r="A225" s="10">
        <v>18</v>
      </c>
      <c r="B225" s="10">
        <v>1941</v>
      </c>
      <c r="C225" s="10">
        <v>0</v>
      </c>
      <c r="D225" s="10">
        <v>1395</v>
      </c>
      <c r="E225" s="10">
        <f>SUM(B225:D225)</f>
        <v>3336</v>
      </c>
      <c r="H225" s="124" t="s">
        <v>16</v>
      </c>
      <c r="I225" s="10" t="s">
        <v>26</v>
      </c>
      <c r="J225" s="9" t="s">
        <v>27</v>
      </c>
      <c r="K225" s="20" t="s">
        <v>29</v>
      </c>
      <c r="BJ225" s="56"/>
      <c r="BK225" s="175"/>
      <c r="BL225" s="93"/>
      <c r="BM225" s="375"/>
      <c r="BN225" s="299"/>
      <c r="BO225" s="56"/>
      <c r="BP225" s="175"/>
      <c r="BQ225" s="93"/>
      <c r="BR225" s="375"/>
      <c r="BS225" s="150"/>
      <c r="BT225" s="56"/>
      <c r="BU225" s="175"/>
      <c r="BV225" s="93"/>
      <c r="BW225" s="375"/>
      <c r="BX225" s="150"/>
      <c r="BY225" s="56"/>
      <c r="BZ225" s="56"/>
      <c r="CA225" s="136"/>
      <c r="CB225" s="136"/>
      <c r="CC225" s="56"/>
      <c r="CD225" s="56"/>
      <c r="CE225" s="56"/>
      <c r="CF225" s="56"/>
      <c r="CG225" s="56"/>
      <c r="CH225" s="56"/>
      <c r="CI225" s="56"/>
      <c r="CJ225" s="56"/>
      <c r="CK225" s="56"/>
      <c r="CL225" s="56"/>
      <c r="CM225" s="56"/>
      <c r="CN225" s="56"/>
      <c r="CO225" s="56"/>
      <c r="CP225" s="56"/>
      <c r="CQ225" s="56"/>
      <c r="CR225" s="56"/>
      <c r="CS225" s="56"/>
      <c r="CT225" s="56"/>
      <c r="CU225" s="56"/>
      <c r="CV225" s="56"/>
      <c r="CW225" s="56"/>
      <c r="CX225" s="56"/>
      <c r="CY225" s="56"/>
      <c r="CZ225" s="56"/>
      <c r="DA225" s="56"/>
      <c r="DB225" s="56"/>
      <c r="DC225" s="56"/>
      <c r="DD225" s="56"/>
      <c r="DE225" s="56"/>
      <c r="DF225" s="56"/>
      <c r="DG225" s="56"/>
    </row>
    <row r="226" spans="1:111">
      <c r="H226" s="39">
        <v>1.5</v>
      </c>
      <c r="I226" s="69" t="e">
        <f>B$228*'Tarantula Curve Mix Design'!#REF!+'Tarantula Curve Mix Design'!#REF!*C$228+D$228*'Tarantula Curve Mix Design'!#REF!</f>
        <v>#REF!</v>
      </c>
      <c r="J226" s="102" t="e">
        <f>1-I226</f>
        <v>#REF!</v>
      </c>
      <c r="K226" s="68" t="e">
        <f>J226</f>
        <v>#REF!</v>
      </c>
      <c r="BJ226" s="56"/>
      <c r="BK226" s="175"/>
      <c r="BL226" s="93"/>
      <c r="BM226" s="376"/>
      <c r="BN226" s="299"/>
      <c r="BO226" s="56"/>
      <c r="BP226" s="175"/>
      <c r="BQ226" s="93"/>
      <c r="BR226" s="376"/>
      <c r="BS226" s="150"/>
      <c r="BT226" s="56"/>
      <c r="BU226" s="175"/>
      <c r="BV226" s="93"/>
      <c r="BW226" s="376"/>
      <c r="BX226" s="150"/>
      <c r="BY226" s="56"/>
      <c r="BZ226" s="56"/>
      <c r="CA226" s="136"/>
      <c r="CB226" s="136"/>
      <c r="CC226" s="56"/>
      <c r="CD226" s="56"/>
      <c r="CE226" s="56"/>
      <c r="CF226" s="56"/>
      <c r="CG226" s="56"/>
      <c r="CH226" s="56"/>
      <c r="CI226" s="56"/>
      <c r="CJ226" s="56"/>
      <c r="CK226" s="56"/>
      <c r="CL226" s="56"/>
      <c r="CM226" s="56"/>
      <c r="CN226" s="56"/>
      <c r="CO226" s="93"/>
      <c r="CP226" s="93"/>
      <c r="CQ226" s="93"/>
      <c r="CR226" s="93"/>
      <c r="CS226" s="93"/>
      <c r="CT226" s="93"/>
      <c r="CU226" s="93"/>
      <c r="CV226" s="377"/>
      <c r="CW226" s="93"/>
      <c r="CX226" s="93"/>
      <c r="CY226" s="93"/>
      <c r="CZ226" s="93"/>
      <c r="DA226" s="377"/>
      <c r="DB226" s="93"/>
      <c r="DC226" s="56"/>
      <c r="DD226" s="56"/>
      <c r="DE226" s="56"/>
      <c r="DF226" s="56"/>
      <c r="DG226" s="56"/>
    </row>
    <row r="227" spans="1:111">
      <c r="B227" s="45" t="s">
        <v>146</v>
      </c>
      <c r="C227" s="46"/>
      <c r="D227" s="47"/>
      <c r="H227" s="39">
        <v>1</v>
      </c>
      <c r="I227" s="69" t="e">
        <f>B$228*'Tarantula Curve Mix Design'!#REF!+'Tarantula Curve Mix Design'!#REF!*C$228+D$228*'Tarantula Curve Mix Design'!#REF!</f>
        <v>#REF!</v>
      </c>
      <c r="J227" s="74" t="e">
        <f>I226-I227</f>
        <v>#REF!</v>
      </c>
      <c r="K227" s="69" t="e">
        <f>K226+J227</f>
        <v>#REF!</v>
      </c>
      <c r="BJ227" s="56"/>
      <c r="BK227" s="175"/>
      <c r="BL227" s="93"/>
      <c r="BM227" s="376"/>
      <c r="BN227" s="299"/>
      <c r="BO227" s="56"/>
      <c r="BP227" s="175"/>
      <c r="BQ227" s="93"/>
      <c r="BR227" s="376"/>
      <c r="BS227" s="150"/>
      <c r="BT227" s="56"/>
      <c r="BU227" s="175"/>
      <c r="BV227" s="93"/>
      <c r="BW227" s="376"/>
      <c r="BX227" s="150"/>
      <c r="BY227" s="56"/>
      <c r="BZ227" s="56"/>
      <c r="CA227" s="136"/>
      <c r="CB227" s="136"/>
      <c r="CC227" s="56"/>
      <c r="CD227" s="56"/>
      <c r="CE227" s="56"/>
      <c r="CF227" s="56"/>
      <c r="CG227" s="56"/>
      <c r="CH227" s="56"/>
      <c r="CI227" s="56"/>
      <c r="CJ227" s="56"/>
      <c r="CK227" s="56"/>
      <c r="CL227" s="56"/>
      <c r="CM227" s="56"/>
      <c r="CN227" s="56"/>
      <c r="CO227" s="56"/>
      <c r="CP227" s="56"/>
      <c r="CQ227" s="93"/>
      <c r="CR227" s="93"/>
      <c r="CS227" s="93"/>
      <c r="CT227" s="93"/>
      <c r="CU227" s="93"/>
      <c r="CV227" s="150"/>
      <c r="CW227" s="93"/>
      <c r="CX227" s="93"/>
      <c r="CY227" s="93"/>
      <c r="CZ227" s="93"/>
      <c r="DA227" s="150"/>
      <c r="DB227" s="93"/>
      <c r="DC227" s="56"/>
      <c r="DD227" s="56"/>
      <c r="DE227" s="56"/>
      <c r="DF227" s="56"/>
      <c r="DG227" s="56"/>
    </row>
    <row r="228" spans="1:111">
      <c r="B228" s="164">
        <f>B225/E225</f>
        <v>0.58183453237410077</v>
      </c>
      <c r="C228" s="164">
        <f>C225/E225</f>
        <v>0</v>
      </c>
      <c r="D228" s="164">
        <f>D225/E225</f>
        <v>0.41816546762589929</v>
      </c>
      <c r="H228" s="39">
        <v>0.75</v>
      </c>
      <c r="I228" s="69" t="e">
        <f>B$228*'Tarantula Curve Mix Design'!#REF!+'Tarantula Curve Mix Design'!#REF!*C$228+D$228*'Tarantula Curve Mix Design'!#REF!</f>
        <v>#REF!</v>
      </c>
      <c r="J228" s="74" t="e">
        <f t="shared" ref="J228:J237" si="14">I227-I228</f>
        <v>#REF!</v>
      </c>
      <c r="K228" s="69" t="e">
        <f t="shared" ref="K228:K237" si="15">K227+J228</f>
        <v>#REF!</v>
      </c>
      <c r="BJ228" s="56"/>
      <c r="BK228" s="175"/>
      <c r="BL228" s="93"/>
      <c r="BM228" s="376"/>
      <c r="BN228" s="299"/>
      <c r="BO228" s="56"/>
      <c r="BP228" s="175"/>
      <c r="BQ228" s="93"/>
      <c r="BR228" s="376"/>
      <c r="BS228" s="299"/>
      <c r="BT228" s="56"/>
      <c r="BU228" s="175"/>
      <c r="BV228" s="93"/>
      <c r="BW228" s="376"/>
      <c r="BX228" s="150"/>
      <c r="BY228" s="56"/>
      <c r="BZ228" s="56"/>
      <c r="CA228" s="136"/>
      <c r="CB228" s="136"/>
      <c r="CC228" s="56"/>
      <c r="CD228" s="56"/>
      <c r="CE228" s="56"/>
      <c r="CF228" s="56"/>
      <c r="CG228" s="56"/>
      <c r="CH228" s="56"/>
      <c r="CI228" s="56"/>
      <c r="CJ228" s="56"/>
      <c r="CK228" s="56"/>
      <c r="CL228" s="56"/>
      <c r="CM228" s="56"/>
      <c r="CN228" s="56"/>
      <c r="CO228" s="56"/>
      <c r="CP228" s="56"/>
      <c r="CQ228" s="93"/>
      <c r="CR228" s="93"/>
      <c r="CS228" s="93"/>
      <c r="CT228" s="93"/>
      <c r="CU228" s="93"/>
      <c r="CV228" s="150"/>
      <c r="CW228" s="93"/>
      <c r="CX228" s="93"/>
      <c r="CY228" s="93"/>
      <c r="CZ228" s="93"/>
      <c r="DA228" s="150"/>
      <c r="DB228" s="93"/>
      <c r="DC228" s="56"/>
      <c r="DD228" s="56"/>
      <c r="DE228" s="56"/>
      <c r="DF228" s="56"/>
      <c r="DG228" s="56"/>
    </row>
    <row r="229" spans="1:111">
      <c r="H229" s="39">
        <v>0.5</v>
      </c>
      <c r="I229" s="69" t="e">
        <f>B$228*'Tarantula Curve Mix Design'!#REF!+'Tarantula Curve Mix Design'!#REF!*C$228+D$228*'Tarantula Curve Mix Design'!#REF!</f>
        <v>#REF!</v>
      </c>
      <c r="J229" s="74" t="e">
        <f t="shared" si="14"/>
        <v>#REF!</v>
      </c>
      <c r="K229" s="69" t="e">
        <f t="shared" si="15"/>
        <v>#REF!</v>
      </c>
      <c r="BJ229" s="56"/>
      <c r="BK229" s="93"/>
      <c r="BL229" s="93"/>
      <c r="BM229" s="376"/>
      <c r="BN229" s="299"/>
      <c r="BO229" s="56"/>
      <c r="BP229" s="93"/>
      <c r="BQ229" s="93"/>
      <c r="BR229" s="376"/>
      <c r="BS229" s="299"/>
      <c r="BT229" s="56"/>
      <c r="BU229" s="93"/>
      <c r="BV229" s="93"/>
      <c r="BW229" s="376"/>
      <c r="BX229" s="150"/>
      <c r="BY229" s="56"/>
      <c r="BZ229" s="56"/>
      <c r="CA229" s="136"/>
      <c r="CB229" s="136"/>
      <c r="CC229" s="56"/>
      <c r="CD229" s="56"/>
      <c r="CE229" s="56"/>
      <c r="CF229" s="56"/>
      <c r="CG229" s="56"/>
      <c r="CH229" s="56"/>
      <c r="CI229" s="56"/>
      <c r="CJ229" s="56"/>
      <c r="CK229" s="56"/>
      <c r="CL229" s="56"/>
      <c r="CM229" s="56"/>
      <c r="CN229" s="56"/>
      <c r="CO229" s="56"/>
      <c r="CP229" s="56"/>
      <c r="CQ229" s="93"/>
      <c r="CR229" s="93"/>
      <c r="CS229" s="93"/>
      <c r="CT229" s="93"/>
      <c r="CU229" s="93"/>
      <c r="CV229" s="150"/>
      <c r="CW229" s="93"/>
      <c r="CX229" s="93"/>
      <c r="CY229" s="93"/>
      <c r="CZ229" s="93"/>
      <c r="DA229" s="150"/>
      <c r="DB229" s="93"/>
      <c r="DC229" s="56"/>
      <c r="DD229" s="56"/>
      <c r="DE229" s="56"/>
      <c r="DF229" s="56"/>
      <c r="DG229" s="56"/>
    </row>
    <row r="230" spans="1:111">
      <c r="H230" s="39">
        <v>0.375</v>
      </c>
      <c r="I230" s="69" t="e">
        <f>B$228*'Tarantula Curve Mix Design'!#REF!+'Tarantula Curve Mix Design'!#REF!*C$228+D$228*'Tarantula Curve Mix Design'!#REF!</f>
        <v>#REF!</v>
      </c>
      <c r="J230" s="74" t="e">
        <f t="shared" si="14"/>
        <v>#REF!</v>
      </c>
      <c r="K230" s="100" t="e">
        <f>K229+J230</f>
        <v>#REF!</v>
      </c>
      <c r="BJ230" s="56"/>
      <c r="BK230" s="93"/>
      <c r="BL230" s="93"/>
      <c r="BM230" s="376"/>
      <c r="BN230" s="299"/>
      <c r="BO230" s="56"/>
      <c r="BP230" s="93"/>
      <c r="BQ230" s="93"/>
      <c r="BR230" s="376"/>
      <c r="BS230" s="299"/>
      <c r="BT230" s="56"/>
      <c r="BU230" s="93"/>
      <c r="BV230" s="93"/>
      <c r="BW230" s="376"/>
      <c r="BX230" s="299"/>
      <c r="BY230" s="56"/>
      <c r="BZ230" s="56"/>
      <c r="CA230" s="136"/>
      <c r="CB230" s="136"/>
      <c r="CC230" s="56"/>
      <c r="CD230" s="56"/>
      <c r="CE230" s="56"/>
      <c r="CF230" s="56"/>
      <c r="CG230" s="56"/>
      <c r="CH230" s="56"/>
      <c r="CI230" s="56"/>
      <c r="CJ230" s="56"/>
      <c r="CK230" s="56"/>
      <c r="CL230" s="56"/>
      <c r="CM230" s="56"/>
      <c r="CN230" s="56"/>
      <c r="CO230" s="56"/>
      <c r="CP230" s="56"/>
      <c r="CQ230" s="93"/>
      <c r="CR230" s="93"/>
      <c r="CS230" s="93"/>
      <c r="CT230" s="93"/>
      <c r="CU230" s="93"/>
      <c r="CV230" s="93"/>
      <c r="CW230" s="93"/>
      <c r="CX230" s="93"/>
      <c r="CY230" s="93"/>
      <c r="CZ230" s="93"/>
      <c r="DA230" s="93"/>
      <c r="DB230" s="93"/>
      <c r="DC230" s="56"/>
      <c r="DD230" s="56"/>
      <c r="DE230" s="56"/>
      <c r="DF230" s="56"/>
      <c r="DG230" s="56"/>
    </row>
    <row r="231" spans="1:111">
      <c r="H231" s="39" t="s">
        <v>2</v>
      </c>
      <c r="I231" s="69" t="e">
        <f>B$228*'Tarantula Curve Mix Design'!#REF!+'Tarantula Curve Mix Design'!#REF!*C$228+D$228*'Tarantula Curve Mix Design'!#REF!</f>
        <v>#REF!</v>
      </c>
      <c r="J231" s="74" t="e">
        <f t="shared" si="14"/>
        <v>#REF!</v>
      </c>
      <c r="K231" s="69" t="e">
        <f t="shared" si="15"/>
        <v>#REF!</v>
      </c>
      <c r="BJ231" s="56"/>
      <c r="BK231" s="93"/>
      <c r="BL231" s="93"/>
      <c r="BM231" s="376"/>
      <c r="BN231" s="299"/>
      <c r="BO231" s="56"/>
      <c r="BP231" s="93"/>
      <c r="BQ231" s="93"/>
      <c r="BR231" s="376"/>
      <c r="BS231" s="299"/>
      <c r="BT231" s="56"/>
      <c r="BU231" s="93"/>
      <c r="BV231" s="93"/>
      <c r="BW231" s="376"/>
      <c r="BX231" s="299"/>
      <c r="BY231" s="56"/>
      <c r="BZ231" s="56"/>
      <c r="CA231" s="136"/>
      <c r="CB231" s="136"/>
      <c r="CC231" s="56"/>
      <c r="CD231" s="56"/>
      <c r="CE231" s="56"/>
      <c r="CF231" s="56"/>
      <c r="CG231" s="56"/>
      <c r="CH231" s="56"/>
      <c r="CI231" s="56"/>
      <c r="CJ231" s="56"/>
      <c r="CK231" s="56"/>
      <c r="CL231" s="56"/>
      <c r="CM231" s="56"/>
      <c r="CN231" s="56"/>
      <c r="CO231" s="56"/>
      <c r="CP231" s="56"/>
      <c r="CQ231" s="93"/>
      <c r="CR231" s="93"/>
      <c r="CS231" s="93"/>
      <c r="CT231" s="93"/>
      <c r="CU231" s="93"/>
      <c r="CV231" s="93"/>
      <c r="CW231" s="93"/>
      <c r="CX231" s="93"/>
      <c r="CY231" s="56"/>
      <c r="CZ231" s="56"/>
      <c r="DA231" s="56"/>
      <c r="DB231" s="93"/>
      <c r="DC231" s="93"/>
      <c r="DD231" s="93"/>
      <c r="DE231" s="93"/>
      <c r="DF231" s="93"/>
      <c r="DG231" s="56"/>
    </row>
    <row r="232" spans="1:111">
      <c r="H232" s="39" t="s">
        <v>5</v>
      </c>
      <c r="I232" s="103" t="e">
        <f>B$228*'Tarantula Curve Mix Design'!#REF!+'Tarantula Curve Mix Design'!#REF!*C$228+D$228*'Tarantula Curve Mix Design'!#REF!</f>
        <v>#REF!</v>
      </c>
      <c r="J232" s="74" t="e">
        <f t="shared" si="14"/>
        <v>#REF!</v>
      </c>
      <c r="K232" s="100" t="e">
        <f t="shared" si="15"/>
        <v>#REF!</v>
      </c>
      <c r="BJ232" s="56"/>
      <c r="BK232" s="56"/>
      <c r="BL232" s="56"/>
      <c r="BM232" s="56"/>
      <c r="BN232" s="56"/>
      <c r="BO232" s="56"/>
      <c r="BP232" s="93"/>
      <c r="BQ232" s="93"/>
      <c r="BR232" s="376"/>
      <c r="BS232" s="299"/>
      <c r="BT232" s="56"/>
      <c r="BU232" s="93"/>
      <c r="BV232" s="93"/>
      <c r="BW232" s="376"/>
      <c r="BX232" s="299"/>
      <c r="BY232" s="56"/>
      <c r="BZ232" s="56"/>
      <c r="CA232" s="136"/>
      <c r="CB232" s="136"/>
      <c r="CC232" s="56"/>
      <c r="CD232" s="56"/>
      <c r="CE232" s="56"/>
      <c r="CF232" s="56"/>
      <c r="CG232" s="56"/>
      <c r="CH232" s="56"/>
      <c r="CI232" s="56"/>
      <c r="CJ232" s="56"/>
      <c r="CK232" s="56"/>
      <c r="CL232" s="56"/>
      <c r="CM232" s="56"/>
      <c r="CN232" s="56"/>
      <c r="CO232" s="56"/>
      <c r="CP232" s="56"/>
      <c r="CQ232" s="56"/>
      <c r="CR232" s="56"/>
      <c r="CS232" s="56"/>
      <c r="CT232" s="56"/>
      <c r="CU232" s="56"/>
      <c r="CV232" s="56"/>
      <c r="CW232" s="56"/>
      <c r="CX232" s="56"/>
      <c r="CY232" s="56"/>
      <c r="CZ232" s="56"/>
      <c r="DA232" s="56"/>
      <c r="DB232" s="56"/>
      <c r="DC232" s="56"/>
      <c r="DD232" s="56"/>
      <c r="DE232" s="56"/>
      <c r="DF232" s="56"/>
      <c r="DG232" s="56"/>
    </row>
    <row r="233" spans="1:111">
      <c r="H233" s="39" t="s">
        <v>7</v>
      </c>
      <c r="I233" s="69" t="e">
        <f>B$228*'Tarantula Curve Mix Design'!C45+'Tarantula Curve Mix Design'!#REF!*C$228+D$228*'Tarantula Curve Mix Design'!#REF!</f>
        <v>#DIV/0!</v>
      </c>
      <c r="J233" s="74" t="e">
        <f t="shared" si="14"/>
        <v>#REF!</v>
      </c>
      <c r="K233" s="69" t="e">
        <f t="shared" si="15"/>
        <v>#REF!</v>
      </c>
      <c r="BJ233" s="56"/>
      <c r="BK233" s="56"/>
      <c r="BL233" s="56"/>
      <c r="BM233" s="376"/>
      <c r="BN233" s="56"/>
      <c r="BO233" s="56"/>
      <c r="BP233" s="93"/>
      <c r="BQ233" s="93"/>
      <c r="BR233" s="376"/>
      <c r="BS233" s="299"/>
      <c r="BT233" s="56"/>
      <c r="BU233" s="93"/>
      <c r="BV233" s="93"/>
      <c r="BW233" s="376"/>
      <c r="BX233" s="299"/>
      <c r="BY233" s="56"/>
      <c r="BZ233" s="56"/>
      <c r="CA233" s="136"/>
      <c r="CB233" s="136"/>
      <c r="CC233" s="56"/>
      <c r="CD233" s="56"/>
      <c r="CE233" s="56"/>
      <c r="CF233" s="56"/>
      <c r="CG233" s="56"/>
      <c r="CH233" s="56"/>
      <c r="CI233" s="56"/>
      <c r="CJ233" s="56"/>
      <c r="CK233" s="56"/>
      <c r="CL233" s="56"/>
      <c r="CM233" s="56"/>
      <c r="CN233" s="56"/>
      <c r="CO233" s="56"/>
      <c r="CP233" s="56"/>
      <c r="CQ233" s="56"/>
      <c r="CR233" s="56"/>
      <c r="CS233" s="56"/>
      <c r="CT233" s="56"/>
      <c r="CU233" s="56"/>
      <c r="CV233" s="56"/>
      <c r="CW233" s="56"/>
      <c r="CX233" s="56"/>
      <c r="CY233" s="56"/>
      <c r="CZ233" s="56"/>
      <c r="DA233" s="56"/>
      <c r="DB233" s="56"/>
      <c r="DC233" s="56"/>
      <c r="DD233" s="56"/>
      <c r="DE233" s="56"/>
      <c r="DF233" s="56"/>
      <c r="DG233" s="56"/>
    </row>
    <row r="234" spans="1:111">
      <c r="H234" s="39" t="s">
        <v>8</v>
      </c>
      <c r="I234" s="69" t="e">
        <f>B$228*'Tarantula Curve Mix Design'!C46+'Tarantula Curve Mix Design'!#REF!*C$228+D$228*'Tarantula Curve Mix Design'!#REF!</f>
        <v>#DIV/0!</v>
      </c>
      <c r="J234" s="74" t="e">
        <f t="shared" si="14"/>
        <v>#DIV/0!</v>
      </c>
      <c r="K234" s="69" t="e">
        <f t="shared" si="15"/>
        <v>#REF!</v>
      </c>
      <c r="BJ234" s="56"/>
      <c r="BK234" s="56"/>
      <c r="BL234" s="56"/>
      <c r="BM234" s="56"/>
      <c r="BN234" s="56"/>
      <c r="BO234" s="56"/>
      <c r="BP234" s="93"/>
      <c r="BQ234" s="93"/>
      <c r="BR234" s="376"/>
      <c r="BS234" s="299"/>
      <c r="BT234" s="56"/>
      <c r="BU234" s="93"/>
      <c r="BV234" s="93"/>
      <c r="BW234" s="376"/>
      <c r="BX234" s="299"/>
      <c r="BY234" s="56"/>
      <c r="BZ234" s="56"/>
      <c r="CA234" s="136"/>
      <c r="CB234" s="136"/>
      <c r="CC234" s="56"/>
      <c r="CD234" s="56"/>
      <c r="CE234" s="56"/>
      <c r="CF234" s="56"/>
      <c r="CG234" s="56"/>
      <c r="CH234" s="56"/>
      <c r="CI234" s="56"/>
      <c r="CJ234" s="56"/>
      <c r="CK234" s="56"/>
      <c r="CL234" s="56"/>
      <c r="CM234" s="56"/>
      <c r="CN234" s="56"/>
      <c r="CO234" s="93"/>
      <c r="CP234" s="93"/>
      <c r="CQ234" s="93"/>
      <c r="CR234" s="93"/>
      <c r="CS234" s="93"/>
      <c r="CT234" s="93"/>
      <c r="CU234" s="93"/>
      <c r="CV234" s="377"/>
      <c r="CW234" s="93"/>
      <c r="CX234" s="93"/>
      <c r="CY234" s="93"/>
      <c r="CZ234" s="56"/>
      <c r="DA234" s="93"/>
      <c r="DB234" s="93"/>
      <c r="DC234" s="93"/>
      <c r="DD234" s="93"/>
      <c r="DE234" s="93"/>
      <c r="DF234" s="377"/>
      <c r="DG234" s="93"/>
    </row>
    <row r="235" spans="1:111">
      <c r="H235" s="39" t="s">
        <v>9</v>
      </c>
      <c r="I235" s="69" t="e">
        <f>B$228*'Tarantula Curve Mix Design'!C47+'Tarantula Curve Mix Design'!#REF!*C$228+D$228*'Tarantula Curve Mix Design'!#REF!</f>
        <v>#DIV/0!</v>
      </c>
      <c r="J235" s="74" t="e">
        <f t="shared" si="14"/>
        <v>#DIV/0!</v>
      </c>
      <c r="K235" s="69" t="e">
        <f t="shared" si="15"/>
        <v>#REF!</v>
      </c>
      <c r="BJ235" s="56"/>
      <c r="BK235" s="56"/>
      <c r="BL235" s="56"/>
      <c r="BM235" s="56"/>
      <c r="BN235" s="56"/>
      <c r="BO235" s="56"/>
      <c r="BP235" s="93"/>
      <c r="BQ235" s="93"/>
      <c r="BR235" s="376"/>
      <c r="BS235" s="299"/>
      <c r="BT235" s="56"/>
      <c r="BU235" s="93"/>
      <c r="BV235" s="93"/>
      <c r="BW235" s="376"/>
      <c r="BX235" s="299"/>
      <c r="BY235" s="56"/>
      <c r="BZ235" s="56"/>
      <c r="CA235" s="136"/>
      <c r="CB235" s="136"/>
      <c r="CC235" s="56"/>
      <c r="CD235" s="56"/>
      <c r="CE235" s="56"/>
      <c r="CF235" s="56"/>
      <c r="CG235" s="56"/>
      <c r="CH235" s="56"/>
      <c r="CI235" s="56"/>
      <c r="CJ235" s="56"/>
      <c r="CK235" s="56"/>
      <c r="CL235" s="56"/>
      <c r="CM235" s="56"/>
      <c r="CN235" s="56"/>
      <c r="CO235" s="56"/>
      <c r="CP235" s="56"/>
      <c r="CQ235" s="93"/>
      <c r="CR235" s="93"/>
      <c r="CS235" s="93"/>
      <c r="CT235" s="93"/>
      <c r="CU235" s="93"/>
      <c r="CV235" s="150"/>
      <c r="CW235" s="93"/>
      <c r="CX235" s="93"/>
      <c r="CY235" s="93"/>
      <c r="CZ235" s="56"/>
      <c r="DA235" s="93"/>
      <c r="DB235" s="93"/>
      <c r="DC235" s="93"/>
      <c r="DD235" s="93"/>
      <c r="DE235" s="93"/>
      <c r="DF235" s="150"/>
      <c r="DG235" s="93"/>
    </row>
    <row r="236" spans="1:111">
      <c r="H236" s="39" t="s">
        <v>10</v>
      </c>
      <c r="I236" s="69" t="e">
        <f>B$228*'Tarantula Curve Mix Design'!C48+'Tarantula Curve Mix Design'!#REF!*C$228+D$228*'Tarantula Curve Mix Design'!#REF!</f>
        <v>#DIV/0!</v>
      </c>
      <c r="J236" s="74" t="e">
        <f t="shared" si="14"/>
        <v>#DIV/0!</v>
      </c>
      <c r="K236" s="69" t="e">
        <f t="shared" si="15"/>
        <v>#REF!</v>
      </c>
      <c r="BJ236" s="56"/>
      <c r="BK236" s="56"/>
      <c r="BL236" s="56"/>
      <c r="BM236" s="56"/>
      <c r="BN236" s="56"/>
      <c r="BO236" s="56"/>
      <c r="BP236" s="56"/>
      <c r="BQ236" s="56"/>
      <c r="BR236" s="376"/>
      <c r="BS236" s="299"/>
      <c r="BT236" s="56"/>
      <c r="BU236" s="56"/>
      <c r="BV236" s="56"/>
      <c r="BW236" s="376"/>
      <c r="BX236" s="299"/>
      <c r="BY236" s="56"/>
      <c r="BZ236" s="56"/>
      <c r="CA236" s="136"/>
      <c r="CB236" s="136"/>
      <c r="CC236" s="56"/>
      <c r="CD236" s="56"/>
      <c r="CE236" s="56"/>
      <c r="CF236" s="56"/>
      <c r="CG236" s="56"/>
      <c r="CH236" s="56"/>
      <c r="CI236" s="56"/>
      <c r="CJ236" s="56"/>
      <c r="CK236" s="56"/>
      <c r="CL236" s="56"/>
      <c r="CM236" s="56"/>
      <c r="CN236" s="56"/>
      <c r="CO236" s="56"/>
      <c r="CP236" s="56"/>
      <c r="CQ236" s="93"/>
      <c r="CR236" s="93"/>
      <c r="CS236" s="93"/>
      <c r="CT236" s="93"/>
      <c r="CU236" s="93"/>
      <c r="CV236" s="150"/>
      <c r="CW236" s="93"/>
      <c r="CX236" s="93"/>
      <c r="CY236" s="93"/>
      <c r="CZ236" s="56"/>
      <c r="DA236" s="93"/>
      <c r="DB236" s="93"/>
      <c r="DC236" s="93"/>
      <c r="DD236" s="93"/>
      <c r="DE236" s="93"/>
      <c r="DF236" s="150"/>
      <c r="DG236" s="93"/>
    </row>
    <row r="237" spans="1:111">
      <c r="H237" s="40" t="s">
        <v>12</v>
      </c>
      <c r="I237" s="69" t="e">
        <f>B$228*'Tarantula Curve Mix Design'!#REF!+'Tarantula Curve Mix Design'!#REF!*C$228+D$228*'Tarantula Curve Mix Design'!#REF!</f>
        <v>#REF!</v>
      </c>
      <c r="J237" s="74" t="e">
        <f t="shared" si="14"/>
        <v>#DIV/0!</v>
      </c>
      <c r="K237" s="69" t="e">
        <f t="shared" si="15"/>
        <v>#REF!</v>
      </c>
      <c r="BJ237" s="56"/>
      <c r="BK237" s="56"/>
      <c r="BL237" s="56"/>
      <c r="BM237" s="56"/>
      <c r="BN237" s="56"/>
      <c r="BO237" s="56"/>
      <c r="BP237" s="56"/>
      <c r="BQ237" s="56"/>
      <c r="BR237" s="56"/>
      <c r="BS237" s="56"/>
      <c r="BT237" s="56"/>
      <c r="BU237" s="56"/>
      <c r="BV237" s="56"/>
      <c r="BW237" s="136"/>
      <c r="BX237" s="56"/>
      <c r="BY237" s="56"/>
      <c r="BZ237" s="56"/>
      <c r="CA237" s="136"/>
      <c r="CB237" s="56"/>
      <c r="CC237" s="56"/>
      <c r="CD237" s="56"/>
      <c r="CE237" s="56"/>
      <c r="CF237" s="56"/>
      <c r="CG237" s="56"/>
      <c r="CH237" s="56"/>
      <c r="CI237" s="56"/>
      <c r="CJ237" s="56"/>
      <c r="CK237" s="56"/>
      <c r="CL237" s="56"/>
      <c r="CM237" s="56"/>
      <c r="CN237" s="56"/>
      <c r="CO237" s="56"/>
      <c r="CP237" s="56"/>
      <c r="CQ237" s="93"/>
      <c r="CR237" s="93"/>
      <c r="CS237" s="93"/>
      <c r="CT237" s="93"/>
      <c r="CU237" s="93"/>
      <c r="CV237" s="150"/>
      <c r="CW237" s="93"/>
      <c r="CX237" s="93"/>
      <c r="CY237" s="93"/>
      <c r="CZ237" s="56"/>
      <c r="DA237" s="93"/>
      <c r="DB237" s="93"/>
      <c r="DC237" s="93"/>
      <c r="DD237" s="93"/>
      <c r="DE237" s="93"/>
      <c r="DF237" s="150"/>
      <c r="DG237" s="93"/>
    </row>
    <row r="238" spans="1:111">
      <c r="Q238" s="56"/>
      <c r="R238" s="56"/>
      <c r="S238" s="56"/>
      <c r="T238" s="56"/>
      <c r="U238" s="56"/>
      <c r="V238" s="56"/>
      <c r="W238" s="56"/>
      <c r="X238" s="56"/>
      <c r="Y238" s="56"/>
      <c r="Z238" s="56"/>
      <c r="AA238" s="56"/>
      <c r="AB238" s="56"/>
      <c r="AC238" s="12"/>
      <c r="AD238" s="403"/>
      <c r="AE238" s="403"/>
      <c r="AF238" s="403"/>
      <c r="AG238" s="403"/>
      <c r="AH238" s="56"/>
      <c r="AI238" s="56"/>
      <c r="AJ238" s="56"/>
      <c r="AK238" s="56"/>
      <c r="AL238" s="56"/>
      <c r="AM238" s="93"/>
      <c r="AN238" s="175"/>
      <c r="AO238" s="175"/>
      <c r="AP238" s="175"/>
      <c r="AQ238" s="56"/>
      <c r="AR238" s="56"/>
      <c r="AS238" s="56"/>
      <c r="AT238" s="56"/>
      <c r="AU238" s="56"/>
      <c r="AV238" s="56"/>
      <c r="AW238" s="56"/>
      <c r="AX238" s="56"/>
      <c r="AY238" s="56"/>
      <c r="AZ238" s="56"/>
      <c r="BA238" s="56"/>
      <c r="BB238" s="56"/>
      <c r="BC238" s="56"/>
      <c r="BD238" s="56"/>
      <c r="BE238" s="56"/>
      <c r="BF238" s="56"/>
      <c r="BG238" s="56"/>
      <c r="BH238" s="56"/>
      <c r="BI238" s="56"/>
      <c r="BJ238" s="56"/>
      <c r="BK238" s="56"/>
      <c r="BL238" s="56"/>
      <c r="BM238" s="56"/>
      <c r="BN238" s="56"/>
      <c r="BO238" s="56"/>
      <c r="BP238" s="56"/>
      <c r="BQ238" s="56"/>
      <c r="BR238" s="56"/>
      <c r="BS238" s="56"/>
      <c r="BT238" s="56"/>
      <c r="BU238" s="150"/>
      <c r="BV238" s="177"/>
      <c r="BW238" s="150"/>
      <c r="BX238" s="93"/>
      <c r="BY238" s="320"/>
      <c r="BZ238" s="56"/>
      <c r="CA238" s="240"/>
      <c r="CB238" s="249"/>
      <c r="CC238" s="56"/>
      <c r="CD238" s="56"/>
      <c r="CE238" s="56"/>
      <c r="CF238" s="56"/>
      <c r="CG238" s="56"/>
      <c r="CH238" s="56"/>
      <c r="CI238" s="56"/>
      <c r="CJ238" s="56"/>
      <c r="CK238" s="93"/>
      <c r="CL238" s="56"/>
      <c r="CM238" s="56"/>
      <c r="CN238" s="56"/>
      <c r="CO238" s="56"/>
      <c r="CP238" s="56"/>
      <c r="CQ238" s="56"/>
      <c r="CR238" s="56"/>
      <c r="CS238" s="56"/>
      <c r="CT238" s="56"/>
      <c r="CU238" s="56"/>
      <c r="CV238" s="56"/>
      <c r="CW238" s="56"/>
      <c r="CX238" s="56"/>
      <c r="CY238" s="56"/>
      <c r="CZ238" s="56"/>
      <c r="DA238" s="56"/>
      <c r="DB238" s="56"/>
      <c r="DC238" s="56"/>
      <c r="DD238" s="56"/>
      <c r="DE238" s="56"/>
      <c r="DF238" s="56"/>
      <c r="DG238" s="56"/>
    </row>
    <row r="239" spans="1:111">
      <c r="Q239" s="56"/>
      <c r="R239" s="56"/>
      <c r="S239" s="56"/>
      <c r="T239" s="56"/>
      <c r="U239" s="56"/>
      <c r="V239" s="56"/>
      <c r="W239" s="56"/>
      <c r="X239" s="56"/>
      <c r="Y239" s="56"/>
      <c r="Z239" s="56"/>
      <c r="AA239" s="56"/>
      <c r="AB239" s="56"/>
      <c r="AC239" s="12"/>
      <c r="AD239" s="403"/>
      <c r="AE239" s="403"/>
      <c r="AF239" s="403"/>
      <c r="AG239" s="403"/>
      <c r="AH239" s="56"/>
      <c r="AI239" s="56"/>
      <c r="AJ239" s="176"/>
      <c r="AK239" s="56"/>
      <c r="AL239" s="56"/>
      <c r="AM239" s="93"/>
      <c r="AN239" s="82"/>
      <c r="AO239" s="82"/>
      <c r="AP239" s="82"/>
      <c r="AQ239" s="177"/>
      <c r="AR239" s="56"/>
      <c r="AS239" s="56"/>
      <c r="AT239" s="56"/>
      <c r="AU239" s="56"/>
      <c r="AV239" s="56"/>
      <c r="AW239" s="56"/>
      <c r="AX239" s="56"/>
      <c r="AY239" s="56"/>
      <c r="AZ239" s="56"/>
      <c r="BA239" s="56"/>
      <c r="BB239" s="56"/>
      <c r="BC239" s="56"/>
      <c r="BD239" s="56"/>
      <c r="BE239" s="56"/>
      <c r="BF239" s="56"/>
      <c r="BG239" s="56"/>
      <c r="BH239" s="56"/>
      <c r="BI239" s="56"/>
      <c r="BJ239" s="56"/>
      <c r="BK239" s="56"/>
      <c r="BL239" s="56"/>
      <c r="BM239" s="56"/>
      <c r="BN239" s="56"/>
      <c r="BO239" s="56"/>
      <c r="BP239" s="56"/>
      <c r="BQ239" s="56"/>
      <c r="BR239" s="56"/>
      <c r="BS239" s="56"/>
      <c r="BT239" s="56"/>
      <c r="BU239" s="150"/>
      <c r="BV239" s="177"/>
      <c r="BW239" s="150"/>
      <c r="BX239" s="93"/>
      <c r="BY239" s="320"/>
      <c r="BZ239" s="56"/>
      <c r="CA239" s="240"/>
      <c r="CB239" s="249"/>
      <c r="CC239" s="56"/>
      <c r="CD239" s="56"/>
      <c r="CE239" s="56"/>
      <c r="CF239" s="56"/>
      <c r="CG239" s="56"/>
      <c r="CH239" s="56"/>
      <c r="CI239" s="56"/>
      <c r="CJ239" s="56"/>
      <c r="CK239" s="175"/>
      <c r="CL239" s="56"/>
      <c r="CM239" s="56"/>
      <c r="CN239" s="56"/>
      <c r="CO239" s="56"/>
      <c r="CP239" s="56"/>
      <c r="CQ239" s="56"/>
      <c r="CR239" s="56"/>
      <c r="CS239" s="56"/>
      <c r="CT239" s="56"/>
      <c r="CU239" s="56"/>
      <c r="CV239" s="56"/>
      <c r="CW239" s="56"/>
      <c r="CX239" s="56"/>
      <c r="CY239" s="56"/>
      <c r="CZ239" s="56"/>
      <c r="DA239" s="56"/>
      <c r="DB239" s="56"/>
      <c r="DC239" s="56"/>
      <c r="DD239" s="56"/>
      <c r="DE239" s="56"/>
      <c r="DF239" s="56"/>
      <c r="DG239" s="56"/>
    </row>
    <row r="240" spans="1:111">
      <c r="Q240" s="56"/>
      <c r="R240" s="56"/>
      <c r="S240" s="56"/>
      <c r="T240" s="56"/>
      <c r="U240" s="56"/>
      <c r="V240" s="56"/>
      <c r="W240" s="56"/>
      <c r="X240" s="56"/>
      <c r="Y240" s="56"/>
      <c r="Z240" s="56"/>
      <c r="AA240" s="56"/>
      <c r="AB240" s="56"/>
      <c r="AC240" s="12"/>
      <c r="AD240" s="403"/>
      <c r="AE240" s="403"/>
      <c r="AF240" s="403"/>
      <c r="AG240" s="403"/>
      <c r="AH240" s="56"/>
      <c r="AI240" s="178"/>
      <c r="AJ240" s="83"/>
      <c r="AK240" s="56"/>
      <c r="AL240" s="56"/>
      <c r="AM240" s="93"/>
      <c r="AN240" s="82"/>
      <c r="AO240" s="82"/>
      <c r="AP240" s="82"/>
      <c r="AQ240" s="56"/>
      <c r="AR240" s="56"/>
      <c r="AS240" s="56"/>
      <c r="AT240" s="56"/>
      <c r="AU240" s="56"/>
      <c r="AV240" s="56"/>
      <c r="AW240" s="56"/>
      <c r="AX240" s="56"/>
      <c r="AY240" s="56"/>
      <c r="AZ240" s="56"/>
      <c r="BA240" s="56"/>
      <c r="BB240" s="56"/>
      <c r="BC240" s="56"/>
      <c r="BD240" s="56"/>
      <c r="BE240" s="56"/>
      <c r="BF240" s="56"/>
      <c r="BG240" s="56"/>
      <c r="BH240" s="56"/>
      <c r="BI240" s="56"/>
      <c r="BJ240" s="56"/>
      <c r="BK240" s="56"/>
      <c r="BL240" s="56"/>
      <c r="BM240" s="56"/>
      <c r="BN240" s="56"/>
      <c r="BO240" s="56"/>
      <c r="BP240" s="56"/>
      <c r="BQ240" s="56"/>
      <c r="BR240" s="56"/>
      <c r="BS240" s="56"/>
      <c r="BT240" s="56"/>
      <c r="BU240" s="136"/>
      <c r="BV240" s="177"/>
      <c r="BW240" s="179"/>
      <c r="BX240" s="56"/>
      <c r="BY240" s="381"/>
      <c r="BZ240" s="56"/>
      <c r="CA240" s="56"/>
      <c r="CB240" s="56"/>
      <c r="CC240" s="56"/>
      <c r="CD240" s="56"/>
      <c r="CE240" s="56"/>
      <c r="CF240" s="56"/>
      <c r="CG240" s="56"/>
      <c r="CH240" s="56"/>
      <c r="CI240" s="56"/>
      <c r="CJ240" s="56"/>
      <c r="CK240" s="93"/>
      <c r="CL240" s="56"/>
      <c r="CM240" s="56"/>
      <c r="CN240" s="56"/>
      <c r="CO240" s="56"/>
      <c r="CP240" s="56"/>
      <c r="CQ240" s="56"/>
      <c r="CR240" s="56"/>
      <c r="CS240" s="56"/>
      <c r="CT240" s="56"/>
      <c r="CU240" s="56"/>
      <c r="CV240" s="56"/>
      <c r="CW240" s="56"/>
      <c r="CX240" s="56"/>
      <c r="CY240" s="56"/>
      <c r="CZ240" s="56"/>
      <c r="DA240" s="56"/>
      <c r="DB240" s="56"/>
      <c r="DC240" s="56"/>
      <c r="DD240" s="56"/>
      <c r="DE240" s="56"/>
      <c r="DF240" s="56"/>
      <c r="DG240" s="56"/>
    </row>
    <row r="241" spans="17:111">
      <c r="Q241" s="56"/>
      <c r="R241" s="56"/>
      <c r="S241" s="56"/>
      <c r="T241" s="56"/>
      <c r="U241" s="56"/>
      <c r="V241" s="56"/>
      <c r="W241" s="56"/>
      <c r="X241" s="56"/>
      <c r="Y241" s="56"/>
      <c r="Z241" s="56"/>
      <c r="AA241" s="56"/>
      <c r="AB241" s="56"/>
      <c r="AC241" s="12"/>
      <c r="AD241" s="403"/>
      <c r="AE241" s="403"/>
      <c r="AF241" s="403"/>
      <c r="AG241" s="403"/>
      <c r="AH241" s="56"/>
      <c r="AI241" s="178"/>
      <c r="AJ241" s="93"/>
      <c r="AK241" s="56"/>
      <c r="AL241" s="56"/>
      <c r="AM241" s="56"/>
      <c r="AN241" s="56"/>
      <c r="AO241" s="56"/>
      <c r="AP241" s="56"/>
      <c r="AQ241" s="56"/>
      <c r="AR241" s="56"/>
      <c r="AS241" s="56"/>
      <c r="AT241" s="56"/>
      <c r="AU241" s="56"/>
      <c r="AV241" s="56"/>
      <c r="AW241" s="56"/>
      <c r="AX241" s="56"/>
      <c r="AY241" s="56"/>
      <c r="AZ241" s="56"/>
      <c r="BA241" s="56"/>
      <c r="BB241" s="56"/>
      <c r="BC241" s="56"/>
      <c r="BD241" s="56"/>
      <c r="BE241" s="56"/>
      <c r="BF241" s="56"/>
      <c r="BG241" s="56"/>
      <c r="BH241" s="56"/>
      <c r="BI241" s="56"/>
      <c r="BJ241" s="56"/>
      <c r="BK241" s="56"/>
      <c r="BL241" s="56"/>
      <c r="BM241" s="56"/>
      <c r="BN241" s="56"/>
      <c r="BO241" s="56"/>
      <c r="BP241" s="56"/>
      <c r="BQ241" s="56"/>
      <c r="BR241" s="56"/>
      <c r="BS241" s="56"/>
      <c r="BT241" s="56"/>
      <c r="BU241" s="56"/>
      <c r="BV241" s="56"/>
      <c r="BW241" s="93"/>
      <c r="BX241" s="93"/>
      <c r="BY241" s="56"/>
      <c r="BZ241" s="56"/>
      <c r="CA241" s="56"/>
      <c r="CB241" s="56"/>
      <c r="CC241" s="56"/>
      <c r="CD241" s="56"/>
      <c r="CE241" s="56"/>
      <c r="CF241" s="56"/>
      <c r="CG241" s="56"/>
      <c r="CH241" s="56"/>
      <c r="CI241" s="56"/>
      <c r="CJ241" s="56"/>
      <c r="CK241" s="93"/>
      <c r="CL241" s="56"/>
      <c r="CM241" s="56"/>
      <c r="CN241" s="56"/>
      <c r="CO241" s="56"/>
      <c r="CP241" s="56"/>
      <c r="CQ241" s="56"/>
      <c r="CR241" s="56"/>
      <c r="CS241" s="56"/>
      <c r="CT241" s="56"/>
      <c r="CU241" s="56"/>
      <c r="CV241" s="56"/>
      <c r="CW241" s="56"/>
      <c r="CX241" s="56"/>
      <c r="CY241" s="56"/>
      <c r="CZ241" s="56"/>
      <c r="DA241" s="56"/>
      <c r="DB241" s="56"/>
      <c r="DC241" s="56"/>
      <c r="DD241" s="56"/>
      <c r="DE241" s="56"/>
      <c r="DF241" s="56"/>
      <c r="DG241" s="56"/>
    </row>
    <row r="242" spans="17:111">
      <c r="Q242" s="56"/>
      <c r="R242" s="56"/>
      <c r="S242" s="56"/>
      <c r="T242" s="56"/>
      <c r="U242" s="56"/>
      <c r="V242" s="56"/>
      <c r="W242" s="56"/>
      <c r="X242" s="56"/>
      <c r="Y242" s="56"/>
      <c r="Z242" s="56"/>
      <c r="AA242" s="56"/>
      <c r="AB242" s="56"/>
      <c r="AC242" s="12"/>
      <c r="AD242" s="12"/>
      <c r="AE242" s="12"/>
      <c r="AF242" s="12"/>
      <c r="AG242" s="12"/>
      <c r="AH242" s="56"/>
      <c r="AI242" s="56"/>
      <c r="AJ242" s="56"/>
      <c r="AK242" s="56"/>
      <c r="AL242" s="56"/>
      <c r="AM242" s="56"/>
      <c r="AN242" s="93"/>
      <c r="AO242" s="56"/>
      <c r="AP242" s="56"/>
      <c r="AQ242" s="56"/>
      <c r="AR242" s="56"/>
      <c r="AS242" s="56"/>
      <c r="AT242" s="56"/>
      <c r="AU242" s="56"/>
      <c r="AV242" s="56"/>
      <c r="AW242" s="56"/>
      <c r="AX242" s="56"/>
      <c r="AY242" s="56"/>
      <c r="AZ242" s="56"/>
      <c r="BA242" s="56"/>
      <c r="BB242" s="56"/>
      <c r="BC242" s="56"/>
      <c r="BD242" s="56"/>
      <c r="BE242" s="56"/>
      <c r="BF242" s="56"/>
      <c r="BG242" s="56"/>
      <c r="BH242" s="56"/>
      <c r="BI242" s="56"/>
      <c r="BJ242" s="56"/>
      <c r="BK242" s="56"/>
      <c r="BL242" s="56"/>
      <c r="BM242" s="56"/>
      <c r="BN242" s="56"/>
      <c r="BO242" s="56"/>
      <c r="BP242" s="56"/>
      <c r="BQ242" s="56"/>
      <c r="BR242" s="56"/>
      <c r="BS242" s="56"/>
      <c r="BT242" s="56"/>
      <c r="BU242" s="56"/>
      <c r="BV242" s="56"/>
      <c r="BW242" s="56"/>
      <c r="BX242" s="56"/>
      <c r="BY242" s="56"/>
      <c r="BZ242" s="56"/>
      <c r="CA242" s="56"/>
      <c r="CB242" s="56"/>
      <c r="CC242" s="56"/>
      <c r="CD242" s="56"/>
      <c r="CE242" s="56"/>
      <c r="CF242" s="56"/>
      <c r="CG242" s="56"/>
      <c r="CH242" s="56"/>
      <c r="CI242" s="56"/>
      <c r="CJ242" s="56"/>
      <c r="CK242" s="93"/>
      <c r="CL242" s="56"/>
      <c r="CM242" s="56"/>
      <c r="CN242" s="56"/>
      <c r="CO242" s="56"/>
      <c r="CP242" s="56"/>
      <c r="CQ242" s="56"/>
      <c r="CR242" s="56"/>
      <c r="CS242" s="56"/>
      <c r="CT242" s="56"/>
      <c r="CU242" s="56"/>
      <c r="CV242" s="56"/>
      <c r="CW242" s="56"/>
      <c r="CX242" s="56"/>
      <c r="CY242" s="56"/>
      <c r="CZ242" s="56"/>
      <c r="DA242" s="56"/>
      <c r="DB242" s="56"/>
      <c r="DC242" s="56"/>
      <c r="DD242" s="56"/>
      <c r="DE242" s="56"/>
      <c r="DF242" s="56"/>
      <c r="DG242" s="56"/>
    </row>
    <row r="243" spans="17:111">
      <c r="Q243" s="56"/>
      <c r="R243" s="56"/>
      <c r="S243" s="56"/>
      <c r="T243" s="56"/>
      <c r="U243" s="56"/>
      <c r="V243" s="56"/>
      <c r="W243" s="56"/>
      <c r="X243" s="56"/>
      <c r="Y243" s="56"/>
      <c r="Z243" s="56"/>
      <c r="AA243" s="56"/>
      <c r="AB243" s="56"/>
      <c r="AC243" s="12"/>
      <c r="AD243" s="12"/>
      <c r="AE243" s="12"/>
      <c r="AF243" s="12"/>
      <c r="AG243" s="12"/>
      <c r="AH243" s="56"/>
      <c r="AI243" s="56"/>
      <c r="AJ243" s="56"/>
      <c r="AK243" s="56"/>
      <c r="AL243" s="56"/>
      <c r="AM243" s="178"/>
      <c r="AN243" s="179"/>
      <c r="AO243" s="56"/>
      <c r="AP243" s="56"/>
      <c r="AQ243" s="56"/>
      <c r="AR243" s="56"/>
      <c r="AS243" s="56"/>
      <c r="AT243" s="56"/>
      <c r="AU243" s="56"/>
      <c r="AV243" s="56"/>
      <c r="AW243" s="56"/>
      <c r="AX243" s="56"/>
      <c r="AY243" s="56"/>
      <c r="AZ243" s="56"/>
      <c r="BA243" s="56"/>
      <c r="BB243" s="56"/>
      <c r="BC243" s="56"/>
      <c r="BD243" s="56"/>
      <c r="BE243" s="56"/>
      <c r="BF243" s="56"/>
      <c r="BG243" s="56"/>
      <c r="BH243" s="56"/>
      <c r="BI243" s="56"/>
      <c r="BJ243" s="56"/>
      <c r="BK243" s="56"/>
      <c r="BL243" s="56"/>
      <c r="BM243" s="56"/>
      <c r="BN243" s="56"/>
      <c r="BO243" s="56"/>
      <c r="BP243" s="56"/>
      <c r="BQ243" s="56"/>
      <c r="BR243" s="56"/>
      <c r="BS243" s="56"/>
      <c r="BT243" s="56"/>
      <c r="BU243" s="56"/>
      <c r="BV243" s="56"/>
      <c r="BW243" s="56"/>
      <c r="BX243" s="56"/>
      <c r="BY243" s="56"/>
      <c r="BZ243" s="56"/>
      <c r="CA243" s="56"/>
      <c r="CB243" s="56"/>
      <c r="CC243" s="56"/>
      <c r="CD243" s="56"/>
      <c r="CE243" s="56"/>
      <c r="CF243" s="56"/>
      <c r="CG243" s="56"/>
      <c r="CH243" s="56"/>
      <c r="CI243" s="56"/>
      <c r="CJ243" s="56"/>
      <c r="CK243" s="93"/>
      <c r="CL243" s="56"/>
      <c r="CM243" s="56"/>
      <c r="CN243" s="56"/>
      <c r="CO243" s="56"/>
      <c r="CP243" s="56"/>
      <c r="CQ243" s="56"/>
      <c r="CR243" s="56"/>
      <c r="CS243" s="56"/>
      <c r="CT243" s="56"/>
      <c r="CU243" s="56"/>
      <c r="CV243" s="56"/>
      <c r="CW243" s="56"/>
      <c r="CX243" s="56"/>
      <c r="CY243" s="56"/>
      <c r="CZ243" s="56"/>
      <c r="DA243" s="56"/>
      <c r="DB243" s="56"/>
      <c r="DC243" s="56"/>
      <c r="DD243" s="56"/>
      <c r="DE243" s="56"/>
      <c r="DF243" s="56"/>
      <c r="DG243" s="56"/>
    </row>
    <row r="244" spans="17:111">
      <c r="Q244" s="56"/>
      <c r="R244" s="56"/>
      <c r="S244" s="56"/>
      <c r="T244" s="56"/>
      <c r="U244" s="56"/>
      <c r="V244" s="56"/>
      <c r="W244" s="56"/>
      <c r="X244" s="56"/>
      <c r="Y244" s="56"/>
      <c r="Z244" s="56"/>
      <c r="AA244" s="56"/>
      <c r="AB244" s="56"/>
      <c r="AC244" s="12"/>
      <c r="AD244" s="12"/>
      <c r="AE244" s="12"/>
      <c r="AF244" s="12"/>
      <c r="AG244" s="12"/>
      <c r="AH244" s="56"/>
      <c r="AI244" s="178"/>
      <c r="AJ244" s="82"/>
      <c r="AK244" s="56"/>
      <c r="AL244" s="56"/>
      <c r="AM244" s="56"/>
      <c r="AN244" s="82"/>
      <c r="AO244" s="56"/>
      <c r="AP244" s="56"/>
      <c r="AQ244" s="56"/>
      <c r="AR244" s="56"/>
      <c r="AS244" s="56"/>
      <c r="AT244" s="56"/>
      <c r="AU244" s="56"/>
      <c r="AV244" s="56"/>
      <c r="AW244" s="56"/>
      <c r="AX244" s="56"/>
      <c r="AY244" s="56"/>
      <c r="AZ244" s="56"/>
      <c r="BA244" s="56"/>
      <c r="BB244" s="56"/>
      <c r="BC244" s="56"/>
      <c r="BD244" s="56"/>
      <c r="BE244" s="56"/>
      <c r="BF244" s="56"/>
      <c r="BG244" s="56"/>
      <c r="BH244" s="56"/>
      <c r="BI244" s="56"/>
      <c r="BJ244" s="56"/>
      <c r="BK244" s="56"/>
      <c r="BL244" s="56"/>
      <c r="BM244" s="56"/>
      <c r="BN244" s="56"/>
      <c r="BO244" s="56"/>
      <c r="BP244" s="56"/>
      <c r="BQ244" s="56"/>
      <c r="BR244" s="56"/>
      <c r="BS244" s="56"/>
      <c r="BT244" s="56"/>
      <c r="BU244" s="93"/>
      <c r="BV244" s="56"/>
      <c r="BW244" s="249"/>
      <c r="BX244" s="249"/>
      <c r="BY244" s="56"/>
      <c r="BZ244" s="56"/>
      <c r="CA244" s="56"/>
      <c r="CB244" s="56"/>
      <c r="CC244" s="56"/>
      <c r="CD244" s="56"/>
      <c r="CE244" s="56"/>
      <c r="CF244" s="56"/>
      <c r="CG244" s="56"/>
      <c r="CH244" s="56"/>
      <c r="CI244" s="56"/>
      <c r="CJ244" s="56"/>
      <c r="CK244" s="93"/>
      <c r="CL244" s="56"/>
      <c r="CM244" s="56"/>
      <c r="CN244" s="56"/>
      <c r="CO244" s="56"/>
      <c r="CP244" s="56"/>
      <c r="CQ244" s="56"/>
      <c r="CR244" s="56"/>
      <c r="CS244" s="56"/>
      <c r="CT244" s="56"/>
      <c r="CU244" s="56"/>
      <c r="CV244" s="56"/>
      <c r="CW244" s="56"/>
      <c r="CX244" s="56"/>
      <c r="CY244" s="56"/>
      <c r="CZ244" s="56"/>
      <c r="DA244" s="56"/>
      <c r="DB244" s="56"/>
      <c r="DC244" s="56"/>
      <c r="DD244" s="56"/>
      <c r="DE244" s="56"/>
      <c r="DF244" s="56"/>
      <c r="DG244" s="56"/>
    </row>
    <row r="245" spans="17:111">
      <c r="Q245" s="56"/>
      <c r="R245" s="56"/>
      <c r="S245" s="56"/>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c r="BB245" s="56"/>
      <c r="BC245" s="56"/>
      <c r="BD245" s="56"/>
      <c r="BE245" s="56"/>
      <c r="BF245" s="56"/>
      <c r="BG245" s="56"/>
      <c r="BH245" s="56"/>
      <c r="BI245" s="56"/>
      <c r="BJ245" s="56"/>
      <c r="BK245" s="56"/>
      <c r="BL245" s="56"/>
      <c r="BM245" s="56"/>
      <c r="BN245" s="56"/>
      <c r="BO245" s="56"/>
      <c r="BP245" s="56"/>
      <c r="BQ245" s="56"/>
      <c r="BR245" s="56"/>
      <c r="BS245" s="56"/>
      <c r="BT245" s="56"/>
      <c r="BU245" s="56"/>
      <c r="BV245" s="56"/>
      <c r="BW245" s="56"/>
      <c r="BX245" s="56"/>
      <c r="BY245" s="56"/>
      <c r="BZ245" s="56"/>
      <c r="CA245" s="56"/>
      <c r="CB245" s="56"/>
      <c r="CC245" s="56"/>
      <c r="CD245" s="56"/>
      <c r="CE245" s="56"/>
      <c r="CF245" s="56"/>
      <c r="CG245" s="56"/>
      <c r="CH245" s="56"/>
      <c r="CI245" s="56"/>
      <c r="CJ245" s="56"/>
      <c r="CK245" s="56"/>
      <c r="CL245" s="56"/>
      <c r="CM245" s="56"/>
      <c r="CN245" s="56"/>
      <c r="CO245" s="56"/>
      <c r="CP245" s="56"/>
      <c r="CQ245" s="56"/>
      <c r="CR245" s="56"/>
      <c r="CS245" s="56"/>
      <c r="CT245" s="56"/>
      <c r="CU245" s="56"/>
      <c r="CV245" s="56"/>
      <c r="CW245" s="56"/>
      <c r="CX245" s="56"/>
      <c r="CY245" s="56"/>
      <c r="CZ245" s="56"/>
      <c r="DA245" s="56"/>
      <c r="DB245" s="56"/>
      <c r="DC245" s="56"/>
      <c r="DD245" s="56"/>
      <c r="DE245" s="56"/>
      <c r="DF245" s="56"/>
      <c r="DG245" s="56"/>
    </row>
    <row r="246" spans="17:111">
      <c r="Q246" s="56"/>
      <c r="R246" s="56"/>
      <c r="S246" s="56"/>
      <c r="T246" s="56"/>
      <c r="U246" s="56"/>
      <c r="V246" s="56"/>
      <c r="W246" s="56"/>
      <c r="X246" s="56"/>
      <c r="Y246" s="56"/>
      <c r="Z246" s="56"/>
      <c r="AA246" s="56"/>
      <c r="AB246" s="56"/>
      <c r="AC246" s="56"/>
      <c r="AD246" s="56"/>
      <c r="AE246" s="56"/>
      <c r="AF246" s="56"/>
      <c r="AG246" s="56"/>
      <c r="AH246" s="56"/>
      <c r="AI246" s="56"/>
      <c r="AJ246" s="56"/>
      <c r="AK246" s="56"/>
      <c r="AL246" s="56"/>
      <c r="AM246" s="178"/>
      <c r="AN246" s="175"/>
      <c r="AO246" s="56"/>
      <c r="AP246" s="56"/>
      <c r="AQ246" s="56"/>
      <c r="AR246" s="56"/>
      <c r="AS246" s="56"/>
      <c r="AT246" s="56"/>
      <c r="AU246" s="56"/>
      <c r="AV246" s="56"/>
      <c r="AW246" s="56"/>
      <c r="AX246" s="56"/>
      <c r="AY246" s="56"/>
      <c r="AZ246" s="56"/>
      <c r="BA246" s="56"/>
      <c r="BB246" s="56"/>
      <c r="BC246" s="56"/>
      <c r="BD246" s="56"/>
      <c r="BE246" s="56"/>
      <c r="BF246" s="56"/>
      <c r="BG246" s="56"/>
      <c r="BH246" s="56"/>
      <c r="BI246" s="56"/>
      <c r="BJ246" s="56"/>
      <c r="BK246" s="56"/>
      <c r="BL246" s="56"/>
      <c r="BM246" s="56"/>
      <c r="BN246" s="56"/>
      <c r="BO246" s="56"/>
      <c r="BP246" s="56"/>
      <c r="BQ246" s="56"/>
      <c r="BR246" s="56"/>
      <c r="BS246" s="56"/>
      <c r="BT246" s="56"/>
      <c r="BU246" s="56"/>
      <c r="BV246" s="56"/>
      <c r="BW246" s="56"/>
      <c r="BX246" s="56"/>
      <c r="BY246" s="56"/>
      <c r="BZ246" s="56"/>
      <c r="CA246" s="56"/>
      <c r="CB246" s="56"/>
      <c r="CC246" s="56"/>
      <c r="CD246" s="56"/>
      <c r="CE246" s="56"/>
      <c r="CF246" s="56"/>
      <c r="CG246" s="56"/>
      <c r="CH246" s="56"/>
      <c r="CI246" s="56"/>
      <c r="CJ246" s="56"/>
      <c r="CK246" s="56"/>
      <c r="CL246" s="56"/>
      <c r="CM246" s="56"/>
      <c r="CN246" s="56"/>
      <c r="CO246" s="56"/>
      <c r="CP246" s="56"/>
      <c r="CQ246" s="56"/>
      <c r="CR246" s="56"/>
      <c r="CS246" s="56"/>
      <c r="CT246" s="56"/>
      <c r="CU246" s="56"/>
      <c r="CV246" s="56"/>
      <c r="CW246" s="56"/>
      <c r="CX246" s="56"/>
      <c r="CY246" s="56"/>
      <c r="CZ246" s="56"/>
      <c r="DA246" s="56"/>
      <c r="DB246" s="56"/>
      <c r="DC246" s="56"/>
      <c r="DD246" s="56"/>
      <c r="DE246" s="56"/>
      <c r="DF246" s="56"/>
      <c r="DG246" s="56"/>
    </row>
    <row r="247" spans="17:111">
      <c r="Q247" s="56"/>
      <c r="R247" s="56"/>
      <c r="S247" s="56"/>
      <c r="T247" s="56"/>
      <c r="U247" s="56"/>
      <c r="V247" s="56"/>
      <c r="W247" s="56"/>
      <c r="X247" s="56"/>
      <c r="Y247" s="56"/>
      <c r="Z247" s="56"/>
      <c r="AA247" s="56"/>
      <c r="AB247" s="56"/>
      <c r="AC247" s="56"/>
      <c r="AD247" s="56"/>
      <c r="AE247" s="56"/>
      <c r="AF247" s="56"/>
      <c r="AG247" s="56"/>
      <c r="AH247" s="56"/>
      <c r="AI247" s="56"/>
      <c r="AJ247" s="174"/>
      <c r="AK247" s="56"/>
      <c r="AL247" s="56"/>
      <c r="AM247" s="178"/>
      <c r="AN247" s="82"/>
      <c r="AO247" s="56"/>
      <c r="AP247" s="56"/>
      <c r="AQ247" s="56"/>
      <c r="AR247" s="56"/>
      <c r="AS247" s="56"/>
      <c r="AT247" s="56"/>
      <c r="AU247" s="56"/>
      <c r="AV247" s="56"/>
      <c r="AW247" s="56"/>
      <c r="AX247" s="56"/>
      <c r="AY247" s="56"/>
      <c r="AZ247" s="56"/>
      <c r="BA247" s="56"/>
      <c r="BB247" s="56"/>
      <c r="BC247" s="56"/>
      <c r="BD247" s="56"/>
      <c r="BE247" s="56"/>
      <c r="BF247" s="56"/>
      <c r="BG247" s="56"/>
      <c r="BH247" s="56"/>
      <c r="BI247" s="56"/>
      <c r="BJ247" s="56"/>
      <c r="BK247" s="56"/>
      <c r="BL247" s="56"/>
      <c r="BM247" s="56"/>
      <c r="BN247" s="56"/>
      <c r="BO247" s="56"/>
      <c r="BP247" s="56"/>
      <c r="BQ247" s="56"/>
      <c r="BR247" s="56"/>
      <c r="BS247" s="56"/>
      <c r="BT247" s="56"/>
      <c r="BU247" s="56"/>
      <c r="BV247" s="56"/>
      <c r="BW247" s="56"/>
      <c r="BX247" s="56"/>
      <c r="BY247" s="56"/>
      <c r="BZ247" s="56"/>
      <c r="CA247" s="56"/>
      <c r="CB247" s="56"/>
      <c r="CC247" s="56"/>
      <c r="CD247" s="56"/>
      <c r="CE247" s="56"/>
      <c r="CF247" s="56"/>
      <c r="CG247" s="56"/>
      <c r="CH247" s="56"/>
      <c r="CI247" s="56"/>
      <c r="CJ247" s="56"/>
      <c r="CK247" s="56"/>
      <c r="CL247" s="56"/>
      <c r="CM247" s="56"/>
      <c r="CN247" s="56"/>
      <c r="CO247" s="56"/>
      <c r="CP247" s="56"/>
      <c r="CQ247" s="56"/>
      <c r="CR247" s="56"/>
      <c r="CS247" s="56"/>
      <c r="CT247" s="56"/>
      <c r="CU247" s="56"/>
      <c r="CV247" s="56"/>
      <c r="CW247" s="56"/>
      <c r="CX247" s="56"/>
      <c r="CY247" s="56"/>
      <c r="CZ247" s="56"/>
      <c r="DA247" s="56"/>
      <c r="DB247" s="56"/>
      <c r="DC247" s="56"/>
      <c r="DD247" s="56"/>
      <c r="DE247" s="56"/>
      <c r="DF247" s="56"/>
      <c r="DG247" s="56"/>
    </row>
    <row r="248" spans="17:111">
      <c r="Q248" s="56"/>
      <c r="R248" s="56"/>
      <c r="S248" s="56"/>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c r="AP248" s="56"/>
      <c r="AQ248" s="56"/>
      <c r="AR248" s="56"/>
      <c r="AS248" s="56"/>
      <c r="AT248" s="56"/>
      <c r="AU248" s="56"/>
      <c r="AV248" s="56"/>
      <c r="AW248" s="56"/>
      <c r="AX248" s="56"/>
      <c r="AY248" s="56"/>
      <c r="AZ248" s="56"/>
      <c r="BA248" s="56"/>
      <c r="BB248" s="56"/>
      <c r="BC248" s="56"/>
      <c r="BD248" s="56"/>
      <c r="BE248" s="56"/>
      <c r="BF248" s="56"/>
      <c r="BG248" s="56"/>
      <c r="BH248" s="56"/>
      <c r="BI248" s="56"/>
      <c r="BJ248" s="56"/>
      <c r="BK248" s="56"/>
      <c r="BL248" s="56"/>
      <c r="BM248" s="56"/>
      <c r="BN248" s="56"/>
      <c r="BO248" s="93"/>
      <c r="BP248" s="93"/>
      <c r="BQ248" s="93"/>
      <c r="BR248" s="93"/>
      <c r="BS248" s="56"/>
      <c r="BT248" s="56"/>
      <c r="BU248" s="56"/>
      <c r="BV248" s="56"/>
      <c r="BW248" s="56"/>
      <c r="BX248" s="379"/>
      <c r="BY248" s="56"/>
      <c r="BZ248" s="93"/>
      <c r="CA248" s="56"/>
      <c r="CB248" s="56"/>
      <c r="CC248" s="56"/>
      <c r="CD248" s="56"/>
      <c r="CE248" s="56"/>
      <c r="CF248" s="56"/>
      <c r="CG248" s="56"/>
      <c r="CH248" s="56"/>
      <c r="CI248" s="56"/>
      <c r="CJ248" s="56"/>
      <c r="CK248" s="56"/>
      <c r="CL248" s="56"/>
      <c r="CM248" s="56"/>
      <c r="CN248" s="56"/>
      <c r="CO248" s="56"/>
      <c r="CP248" s="56"/>
      <c r="CQ248" s="56"/>
      <c r="CR248" s="56"/>
      <c r="CS248" s="56"/>
      <c r="CT248" s="56"/>
      <c r="CU248" s="56"/>
      <c r="CV248" s="56"/>
      <c r="CW248" s="56"/>
      <c r="CX248" s="56"/>
      <c r="CY248" s="56"/>
      <c r="CZ248" s="56"/>
      <c r="DA248" s="56"/>
      <c r="DB248" s="56"/>
      <c r="DC248" s="56"/>
      <c r="DD248" s="56"/>
      <c r="DE248" s="56"/>
      <c r="DF248" s="56"/>
      <c r="DG248" s="56"/>
    </row>
    <row r="249" spans="17:111">
      <c r="Q249" s="56"/>
      <c r="R249" s="56"/>
      <c r="S249" s="56"/>
      <c r="T249" s="56"/>
      <c r="U249" s="56"/>
      <c r="V249" s="56"/>
      <c r="W249" s="56"/>
      <c r="X249" s="56"/>
      <c r="Y249" s="180"/>
      <c r="Z249" s="180"/>
      <c r="AA249" s="180"/>
      <c r="AB249" s="180"/>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c r="BB249" s="56"/>
      <c r="BC249" s="56"/>
      <c r="BD249" s="56"/>
      <c r="BE249" s="56"/>
      <c r="BF249" s="56"/>
      <c r="BG249" s="56"/>
      <c r="BH249" s="56"/>
      <c r="BI249" s="56"/>
      <c r="BJ249" s="56"/>
      <c r="BK249" s="56"/>
      <c r="BL249" s="56"/>
      <c r="BM249" s="56"/>
      <c r="BN249" s="56"/>
      <c r="BO249" s="56"/>
      <c r="BP249" s="56"/>
      <c r="BQ249" s="56"/>
      <c r="BR249" s="56"/>
      <c r="BS249" s="56"/>
      <c r="BT249" s="56"/>
      <c r="BU249" s="380"/>
      <c r="BV249" s="177"/>
      <c r="BW249" s="56"/>
      <c r="BX249" s="379"/>
      <c r="BY249" s="320"/>
      <c r="BZ249" s="249"/>
      <c r="CA249" s="56"/>
      <c r="CB249" s="56"/>
      <c r="CC249" s="56"/>
      <c r="CD249" s="56"/>
      <c r="CE249" s="56"/>
      <c r="CF249" s="56"/>
      <c r="CG249" s="56"/>
      <c r="CH249" s="56"/>
      <c r="CI249" s="56"/>
      <c r="CJ249" s="56"/>
      <c r="CK249" s="56"/>
      <c r="CL249" s="56"/>
      <c r="CM249" s="56"/>
      <c r="CN249" s="56"/>
      <c r="CO249" s="56"/>
      <c r="CP249" s="56"/>
      <c r="CQ249" s="56"/>
      <c r="CR249" s="56"/>
      <c r="CS249" s="56"/>
      <c r="CT249" s="56"/>
      <c r="CU249" s="56"/>
      <c r="CV249" s="56"/>
      <c r="CW249" s="56"/>
      <c r="CX249" s="56"/>
      <c r="CY249" s="56"/>
      <c r="CZ249" s="56"/>
      <c r="DA249" s="56"/>
      <c r="DB249" s="56"/>
      <c r="DC249" s="56"/>
      <c r="DD249" s="56"/>
      <c r="DE249" s="56"/>
      <c r="DF249" s="56"/>
      <c r="DG249" s="56"/>
    </row>
    <row r="250" spans="17:111">
      <c r="Q250" s="56"/>
      <c r="R250" s="56"/>
      <c r="S250" s="56"/>
      <c r="T250" s="3"/>
      <c r="U250" s="3"/>
      <c r="V250" s="3"/>
      <c r="W250" s="3"/>
      <c r="X250" s="56"/>
      <c r="Y250" s="56"/>
      <c r="Z250" s="181"/>
      <c r="AA250" s="181"/>
      <c r="AB250" s="181"/>
      <c r="AC250" s="56"/>
      <c r="AD250" s="56"/>
      <c r="AE250" s="56"/>
      <c r="AF250" s="176"/>
      <c r="AG250" s="176"/>
      <c r="AH250" s="56"/>
      <c r="AI250" s="56"/>
      <c r="AJ250" s="56"/>
      <c r="AK250" s="56"/>
      <c r="AL250" s="56"/>
      <c r="AM250" s="56"/>
      <c r="AN250" s="56"/>
      <c r="AO250" s="56"/>
      <c r="AP250" s="56"/>
      <c r="AQ250" s="56"/>
      <c r="AR250" s="56"/>
      <c r="AS250" s="56"/>
      <c r="AT250" s="56"/>
      <c r="AU250" s="56"/>
      <c r="AV250" s="56"/>
      <c r="AW250" s="56"/>
      <c r="AX250" s="56"/>
      <c r="AY250" s="56"/>
      <c r="AZ250" s="56"/>
      <c r="BA250" s="56"/>
      <c r="BB250" s="56"/>
      <c r="BC250" s="56"/>
      <c r="BD250" s="56"/>
      <c r="BE250" s="56"/>
      <c r="BF250" s="56"/>
      <c r="BG250" s="56"/>
      <c r="BH250" s="56"/>
      <c r="BI250" s="56"/>
      <c r="BJ250" s="56"/>
      <c r="BK250" s="56"/>
      <c r="BL250" s="56"/>
      <c r="BM250" s="56"/>
      <c r="BN250" s="56"/>
      <c r="BO250" s="56"/>
      <c r="BP250" s="56"/>
      <c r="BQ250" s="56"/>
      <c r="BR250" s="56"/>
      <c r="BS250" s="1"/>
      <c r="BT250" s="56"/>
      <c r="BU250" s="150"/>
      <c r="BV250" s="177"/>
      <c r="BW250" s="56"/>
      <c r="BX250" s="93"/>
      <c r="BY250" s="320"/>
      <c r="BZ250" s="249"/>
      <c r="CA250" s="56"/>
      <c r="CB250" s="56"/>
      <c r="CC250" s="56"/>
      <c r="CD250" s="56"/>
      <c r="CE250" s="56"/>
      <c r="CF250" s="56"/>
      <c r="CG250" s="56"/>
      <c r="CH250" s="56"/>
      <c r="CI250" s="56"/>
      <c r="CJ250" s="56"/>
      <c r="CK250" s="56"/>
      <c r="CL250" s="56"/>
      <c r="CM250" s="56"/>
      <c r="CN250" s="56"/>
      <c r="CO250" s="56"/>
      <c r="CP250" s="56"/>
      <c r="CQ250" s="56"/>
      <c r="CR250" s="56"/>
      <c r="CS250" s="56"/>
      <c r="CT250" s="56"/>
      <c r="CU250" s="56"/>
      <c r="CV250" s="56"/>
      <c r="CW250" s="56"/>
      <c r="CX250" s="56"/>
      <c r="CY250" s="56"/>
      <c r="CZ250" s="56"/>
      <c r="DA250" s="56"/>
      <c r="DB250" s="56"/>
      <c r="DC250" s="56"/>
      <c r="DD250" s="56"/>
      <c r="DE250" s="56"/>
      <c r="DF250" s="56"/>
      <c r="DG250" s="56"/>
    </row>
    <row r="251" spans="17:111">
      <c r="Q251" s="56"/>
      <c r="R251" s="56"/>
      <c r="S251" s="56"/>
      <c r="T251" s="56"/>
      <c r="U251" s="56"/>
      <c r="V251" s="56"/>
      <c r="W251" s="56"/>
      <c r="X251" s="56"/>
      <c r="Y251" s="182"/>
      <c r="Z251" s="56"/>
      <c r="AA251" s="56"/>
      <c r="AB251" s="56"/>
      <c r="AC251" s="56"/>
      <c r="AD251" s="56"/>
      <c r="AE251" s="56"/>
      <c r="AF251" s="56"/>
      <c r="AG251" s="56"/>
      <c r="AH251" s="56"/>
      <c r="AI251" s="56"/>
      <c r="AJ251" s="56"/>
      <c r="AK251" s="178"/>
      <c r="AL251" s="175"/>
      <c r="AM251" s="56"/>
      <c r="AN251" s="56"/>
      <c r="AO251" s="56"/>
      <c r="AP251" s="56"/>
      <c r="AQ251" s="56"/>
      <c r="AR251" s="56"/>
      <c r="AS251" s="56"/>
      <c r="AT251" s="56"/>
      <c r="AU251" s="56"/>
      <c r="AV251" s="56"/>
      <c r="AW251" s="56"/>
      <c r="AX251" s="56"/>
      <c r="AY251" s="56"/>
      <c r="AZ251" s="56"/>
      <c r="BA251" s="56"/>
      <c r="BB251" s="56"/>
      <c r="BC251" s="56"/>
      <c r="BD251" s="56"/>
      <c r="BE251" s="56"/>
      <c r="BF251" s="56"/>
      <c r="BG251" s="56"/>
      <c r="BH251" s="56"/>
      <c r="BI251" s="56"/>
      <c r="BJ251" s="56"/>
      <c r="BK251" s="56"/>
      <c r="BL251" s="56"/>
      <c r="BM251" s="56"/>
      <c r="BN251" s="56"/>
      <c r="BO251" s="56"/>
      <c r="BP251" s="56"/>
      <c r="BQ251" s="56"/>
      <c r="BR251" s="56"/>
      <c r="BS251" s="56"/>
      <c r="BT251" s="56"/>
      <c r="BU251" s="150"/>
      <c r="BV251" s="177"/>
      <c r="BW251" s="56"/>
      <c r="BX251" s="93"/>
      <c r="BY251" s="320"/>
      <c r="BZ251" s="249"/>
      <c r="CA251" s="56"/>
      <c r="CB251" s="56"/>
      <c r="CC251" s="56"/>
      <c r="CD251" s="56"/>
      <c r="CE251" s="56"/>
      <c r="CF251" s="56"/>
      <c r="CG251" s="56"/>
      <c r="CH251" s="56"/>
      <c r="CI251" s="56"/>
      <c r="CJ251" s="56"/>
      <c r="CK251" s="56"/>
      <c r="CL251" s="56"/>
      <c r="CM251" s="56"/>
      <c r="CN251" s="56"/>
      <c r="CO251" s="56"/>
      <c r="CP251" s="56"/>
      <c r="CQ251" s="56"/>
      <c r="CR251" s="56"/>
      <c r="CS251" s="56"/>
      <c r="CT251" s="56"/>
      <c r="CU251" s="56"/>
      <c r="CV251" s="56"/>
      <c r="CW251" s="56"/>
      <c r="CX251" s="56"/>
      <c r="CY251" s="56"/>
      <c r="CZ251" s="56"/>
      <c r="DA251" s="56"/>
      <c r="DB251" s="56"/>
      <c r="DC251" s="56"/>
      <c r="DD251" s="56"/>
      <c r="DE251" s="56"/>
      <c r="DF251" s="56"/>
      <c r="DG251" s="56"/>
    </row>
    <row r="252" spans="17:111">
      <c r="Q252" s="56"/>
      <c r="R252" s="56"/>
      <c r="S252" s="56"/>
      <c r="T252" s="56"/>
      <c r="U252" s="56"/>
      <c r="V252" s="56"/>
      <c r="W252" s="56"/>
      <c r="X252" s="56"/>
      <c r="Y252" s="93"/>
      <c r="Z252" s="83"/>
      <c r="AA252" s="82"/>
      <c r="AB252" s="83"/>
      <c r="AC252" s="56"/>
      <c r="AD252" s="56"/>
      <c r="AE252" s="56"/>
      <c r="AF252" s="56"/>
      <c r="AG252" s="93"/>
      <c r="AH252" s="93"/>
      <c r="AI252" s="56"/>
      <c r="AJ252" s="56"/>
      <c r="AK252" s="56"/>
      <c r="AL252" s="174"/>
      <c r="AM252" s="178"/>
      <c r="AN252" s="56"/>
      <c r="AO252" s="56"/>
      <c r="AP252" s="56"/>
      <c r="AQ252" s="56"/>
      <c r="AR252" s="56"/>
      <c r="AS252" s="56"/>
      <c r="AT252" s="56"/>
      <c r="AU252" s="56"/>
      <c r="AV252" s="56"/>
      <c r="AW252" s="56"/>
      <c r="AX252" s="56"/>
      <c r="AY252" s="56"/>
      <c r="AZ252" s="56"/>
      <c r="BA252" s="56"/>
      <c r="BB252" s="56"/>
      <c r="BC252" s="56"/>
      <c r="BD252" s="56"/>
      <c r="BE252" s="56"/>
      <c r="BF252" s="56"/>
      <c r="BG252" s="56"/>
      <c r="BH252" s="56"/>
      <c r="BI252" s="56"/>
      <c r="BJ252" s="56"/>
      <c r="BK252" s="56"/>
      <c r="BL252" s="56"/>
      <c r="BM252" s="56"/>
      <c r="BN252" s="56"/>
      <c r="BO252" s="56"/>
      <c r="BP252" s="56"/>
      <c r="BQ252" s="56"/>
      <c r="BR252" s="56"/>
      <c r="BS252" s="56"/>
      <c r="BT252" s="56"/>
      <c r="BU252" s="136"/>
      <c r="BV252" s="177"/>
      <c r="BW252" s="56"/>
      <c r="BX252" s="93"/>
      <c r="BY252" s="56"/>
      <c r="BZ252" s="56"/>
      <c r="CA252" s="56"/>
      <c r="CB252" s="56"/>
      <c r="CC252" s="56"/>
      <c r="CD252" s="56"/>
      <c r="CE252" s="56"/>
      <c r="CF252" s="56"/>
      <c r="CG252" s="56"/>
      <c r="CH252" s="56"/>
      <c r="CI252" s="56"/>
      <c r="CJ252" s="56"/>
      <c r="CK252" s="56"/>
      <c r="CL252" s="56"/>
      <c r="CM252" s="56"/>
      <c r="CN252" s="56"/>
      <c r="CO252" s="56"/>
      <c r="CP252" s="56"/>
      <c r="CQ252" s="56"/>
      <c r="CR252" s="56"/>
      <c r="CS252" s="56"/>
      <c r="CT252" s="56"/>
      <c r="CU252" s="56"/>
      <c r="CV252" s="56"/>
      <c r="CW252" s="56"/>
      <c r="CX252" s="56"/>
      <c r="CY252" s="56"/>
      <c r="CZ252" s="56"/>
      <c r="DA252" s="56"/>
      <c r="DB252" s="56"/>
      <c r="DC252" s="56"/>
      <c r="DD252" s="56"/>
      <c r="DE252" s="56"/>
      <c r="DF252" s="56"/>
      <c r="DG252" s="56"/>
    </row>
    <row r="253" spans="17:111">
      <c r="Q253" s="56"/>
      <c r="R253" s="56"/>
      <c r="S253" s="56"/>
      <c r="T253" s="183"/>
      <c r="U253" s="183"/>
      <c r="V253" s="183"/>
      <c r="W253" s="56"/>
      <c r="X253" s="56"/>
      <c r="Y253" s="93"/>
      <c r="Z253" s="83"/>
      <c r="AA253" s="82"/>
      <c r="AB253" s="83"/>
      <c r="AC253" s="56"/>
      <c r="AD253" s="56"/>
      <c r="AE253" s="56"/>
      <c r="AF253" s="178"/>
      <c r="AG253" s="175"/>
      <c r="AH253" s="175"/>
      <c r="AI253" s="56"/>
      <c r="AJ253" s="56"/>
      <c r="AK253" s="56"/>
      <c r="AL253" s="56"/>
      <c r="AM253" s="56"/>
      <c r="AN253" s="56"/>
      <c r="AO253" s="56"/>
      <c r="AP253" s="56"/>
      <c r="AQ253" s="56"/>
      <c r="AR253" s="56"/>
      <c r="AS253" s="56"/>
      <c r="AT253" s="56"/>
      <c r="AU253" s="56"/>
      <c r="AV253" s="56"/>
      <c r="AW253" s="56"/>
      <c r="AX253" s="56"/>
      <c r="AY253" s="56"/>
      <c r="AZ253" s="56"/>
      <c r="BA253" s="56"/>
      <c r="BB253" s="56"/>
      <c r="BC253" s="56"/>
      <c r="BD253" s="56"/>
      <c r="BE253" s="56"/>
      <c r="BF253" s="56"/>
      <c r="BG253" s="56"/>
      <c r="BH253" s="56"/>
      <c r="BI253" s="56"/>
      <c r="BJ253" s="56"/>
      <c r="BK253" s="56"/>
      <c r="BL253" s="56"/>
      <c r="BM253" s="56"/>
      <c r="BN253" s="56"/>
      <c r="BO253" s="56"/>
      <c r="BP253" s="56"/>
      <c r="BQ253" s="56"/>
      <c r="BR253" s="56"/>
      <c r="BS253" s="56"/>
      <c r="BT253" s="56"/>
      <c r="BU253" s="56"/>
      <c r="BV253" s="56"/>
      <c r="BW253" s="56"/>
      <c r="BX253" s="56"/>
      <c r="BY253" s="56"/>
      <c r="BZ253" s="56"/>
      <c r="CA253" s="56"/>
      <c r="CB253" s="56"/>
      <c r="CC253" s="56"/>
      <c r="CD253" s="56"/>
      <c r="CE253" s="56"/>
      <c r="CF253" s="56"/>
      <c r="CG253" s="56"/>
      <c r="CH253" s="56"/>
      <c r="CI253" s="56"/>
      <c r="CJ253" s="56"/>
      <c r="CK253" s="56"/>
      <c r="CL253" s="56"/>
      <c r="CM253" s="56"/>
      <c r="CN253" s="56"/>
      <c r="CO253" s="56"/>
      <c r="CP253" s="56"/>
      <c r="CQ253" s="56"/>
      <c r="CR253" s="56"/>
      <c r="CS253" s="56"/>
      <c r="CT253" s="56"/>
      <c r="CU253" s="56"/>
      <c r="CV253" s="56"/>
      <c r="CW253" s="56"/>
      <c r="CX253" s="56"/>
      <c r="CY253" s="56"/>
      <c r="CZ253" s="56"/>
      <c r="DA253" s="56"/>
      <c r="DB253" s="56"/>
      <c r="DC253" s="56"/>
      <c r="DD253" s="56"/>
      <c r="DE253" s="56"/>
      <c r="DF253" s="56"/>
      <c r="DG253" s="56"/>
    </row>
    <row r="254" spans="17:111">
      <c r="Q254" s="56"/>
      <c r="R254" s="56"/>
      <c r="S254" s="56"/>
      <c r="T254" s="174"/>
      <c r="U254" s="174"/>
      <c r="V254" s="174"/>
      <c r="W254" s="56"/>
      <c r="X254" s="56"/>
      <c r="Y254" s="93"/>
      <c r="Z254" s="83"/>
      <c r="AA254" s="82"/>
      <c r="AB254" s="83"/>
      <c r="AC254" s="56"/>
      <c r="AD254" s="56"/>
      <c r="AE254" s="56"/>
      <c r="AF254" s="178"/>
      <c r="AG254" s="82"/>
      <c r="AH254" s="82"/>
      <c r="AI254" s="56"/>
      <c r="AJ254" s="56"/>
      <c r="AK254" s="56"/>
      <c r="AL254" s="56"/>
      <c r="AM254" s="144"/>
      <c r="AN254" s="56"/>
      <c r="AO254" s="56"/>
      <c r="AP254" s="56"/>
      <c r="AQ254" s="56"/>
      <c r="AR254" s="56"/>
      <c r="AS254" s="56"/>
      <c r="AT254" s="56"/>
      <c r="AU254" s="56"/>
      <c r="AV254" s="56"/>
      <c r="AW254" s="56"/>
      <c r="AX254" s="56"/>
      <c r="AY254" s="56"/>
      <c r="AZ254" s="56"/>
      <c r="BA254" s="56"/>
      <c r="BB254" s="56"/>
      <c r="BC254" s="56"/>
      <c r="BD254" s="56"/>
      <c r="BE254" s="56"/>
      <c r="BF254" s="56"/>
      <c r="BG254" s="56"/>
      <c r="BH254" s="56"/>
      <c r="BI254" s="56"/>
      <c r="BJ254" s="56"/>
      <c r="BK254" s="56"/>
      <c r="BL254" s="56"/>
      <c r="BM254" s="56"/>
      <c r="BN254" s="56"/>
      <c r="BO254" s="56"/>
      <c r="BP254" s="56"/>
      <c r="BQ254" s="56"/>
      <c r="BR254" s="56"/>
      <c r="BS254" s="56"/>
      <c r="BT254" s="56"/>
      <c r="BU254" s="93"/>
      <c r="BV254" s="93"/>
      <c r="BW254" s="249"/>
      <c r="BX254" s="249"/>
      <c r="BY254" s="56"/>
      <c r="BZ254" s="56"/>
      <c r="CA254" s="56"/>
      <c r="CB254" s="56"/>
      <c r="CC254" s="56"/>
      <c r="CD254" s="56"/>
      <c r="CE254" s="56"/>
      <c r="CF254" s="56"/>
      <c r="CG254" s="56"/>
      <c r="CH254" s="56"/>
      <c r="CI254" s="56"/>
      <c r="CJ254" s="56"/>
      <c r="CK254" s="56"/>
      <c r="CL254" s="56"/>
      <c r="CM254" s="56"/>
      <c r="CN254" s="56"/>
      <c r="CO254" s="56"/>
      <c r="CP254" s="56"/>
      <c r="CQ254" s="56"/>
      <c r="CR254" s="56"/>
      <c r="CS254" s="56"/>
      <c r="CT254" s="56"/>
      <c r="CU254" s="56"/>
      <c r="CV254" s="56"/>
      <c r="CW254" s="56"/>
      <c r="CX254" s="56"/>
      <c r="CY254" s="56"/>
      <c r="CZ254" s="56"/>
      <c r="DA254" s="56"/>
      <c r="DB254" s="56"/>
      <c r="DC254" s="56"/>
      <c r="DD254" s="56"/>
      <c r="DE254" s="56"/>
      <c r="DF254" s="56"/>
      <c r="DG254" s="56"/>
    </row>
    <row r="255" spans="17:111">
      <c r="Q255" s="56"/>
      <c r="R255" s="56"/>
      <c r="S255" s="56"/>
      <c r="T255" s="56"/>
      <c r="U255" s="56"/>
      <c r="V255" s="56"/>
      <c r="W255" s="56"/>
      <c r="X255" s="56"/>
      <c r="Y255" s="93"/>
      <c r="Z255" s="83"/>
      <c r="AA255" s="82"/>
      <c r="AB255" s="83"/>
      <c r="AC255" s="56"/>
      <c r="AD255" s="56"/>
      <c r="AE255" s="56"/>
      <c r="AF255" s="56"/>
      <c r="AG255" s="56"/>
      <c r="AH255" s="56"/>
      <c r="AI255" s="56"/>
      <c r="AJ255" s="93"/>
      <c r="AK255" s="82"/>
      <c r="AL255" s="82"/>
      <c r="AM255" s="145"/>
      <c r="AN255" s="56"/>
      <c r="AO255" s="56"/>
      <c r="AP255" s="56"/>
      <c r="AQ255" s="56"/>
      <c r="AR255" s="56"/>
      <c r="AS255" s="56"/>
      <c r="AT255" s="56"/>
      <c r="AU255" s="56"/>
      <c r="AV255" s="56"/>
      <c r="AW255" s="56"/>
      <c r="AX255" s="56"/>
      <c r="AY255" s="56"/>
      <c r="AZ255" s="56"/>
      <c r="BA255" s="56"/>
      <c r="BB255" s="56"/>
      <c r="BC255" s="56"/>
      <c r="BD255" s="56"/>
      <c r="BE255" s="56"/>
      <c r="BF255" s="56"/>
      <c r="BG255" s="56"/>
      <c r="BH255" s="56"/>
      <c r="BI255" s="56"/>
      <c r="BJ255" s="56"/>
      <c r="BK255" s="56"/>
      <c r="BL255" s="56"/>
      <c r="BM255" s="56"/>
      <c r="BN255" s="56"/>
      <c r="BO255" s="56"/>
      <c r="BP255" s="56"/>
      <c r="BQ255" s="56"/>
      <c r="BR255" s="56"/>
      <c r="BS255" s="56"/>
      <c r="BT255" s="56"/>
      <c r="BU255" s="56"/>
      <c r="BV255" s="56"/>
      <c r="BW255" s="56"/>
      <c r="BX255" s="56"/>
      <c r="BY255" s="56"/>
      <c r="BZ255" s="56"/>
      <c r="CA255" s="56"/>
      <c r="CB255" s="56"/>
      <c r="CC255" s="56"/>
      <c r="CD255" s="56"/>
      <c r="CE255" s="56"/>
      <c r="CF255" s="56"/>
      <c r="CG255" s="56"/>
      <c r="CH255" s="56"/>
      <c r="CI255" s="56"/>
      <c r="CJ255" s="56"/>
      <c r="CK255" s="56"/>
      <c r="CL255" s="56"/>
      <c r="CM255" s="56"/>
      <c r="CN255" s="56"/>
      <c r="CO255" s="56"/>
      <c r="CP255" s="56"/>
      <c r="CQ255" s="56"/>
      <c r="CR255" s="56"/>
      <c r="CS255" s="56"/>
      <c r="CT255" s="56"/>
      <c r="CU255" s="56"/>
      <c r="CV255" s="56"/>
      <c r="CW255" s="56"/>
      <c r="CX255" s="56"/>
      <c r="CY255" s="56"/>
      <c r="CZ255" s="56"/>
      <c r="DA255" s="56"/>
      <c r="DB255" s="56"/>
      <c r="DC255" s="56"/>
      <c r="DD255" s="56"/>
      <c r="DE255" s="56"/>
      <c r="DF255" s="56"/>
      <c r="DG255" s="56"/>
    </row>
    <row r="256" spans="17:111">
      <c r="Q256" s="56"/>
      <c r="R256" s="56"/>
      <c r="S256" s="56"/>
      <c r="T256" s="56"/>
      <c r="U256" s="56"/>
      <c r="V256" s="56"/>
      <c r="W256" s="56"/>
      <c r="X256" s="56"/>
      <c r="Y256" s="93"/>
      <c r="Z256" s="83"/>
      <c r="AA256" s="82"/>
      <c r="AB256" s="83"/>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c r="BA256" s="56"/>
      <c r="BB256" s="56"/>
      <c r="BC256" s="56"/>
      <c r="BD256" s="56"/>
      <c r="BE256" s="56"/>
      <c r="BF256" s="56"/>
      <c r="BG256" s="56"/>
      <c r="BH256" s="56"/>
      <c r="BI256" s="56"/>
      <c r="BJ256" s="56"/>
      <c r="BK256" s="56"/>
      <c r="BL256" s="56"/>
      <c r="BM256" s="56"/>
      <c r="BN256" s="56"/>
      <c r="BO256" s="56"/>
      <c r="BP256" s="56"/>
      <c r="BQ256" s="56"/>
      <c r="BR256" s="56"/>
      <c r="BS256" s="56"/>
      <c r="BT256" s="56"/>
      <c r="BU256" s="56"/>
      <c r="BV256" s="56"/>
      <c r="BW256" s="56"/>
      <c r="BX256" s="56"/>
      <c r="BY256" s="56"/>
      <c r="BZ256" s="56"/>
      <c r="CA256" s="56"/>
      <c r="CB256" s="56"/>
      <c r="CC256" s="56"/>
      <c r="CD256" s="56"/>
      <c r="CE256" s="56"/>
      <c r="CF256" s="56"/>
      <c r="CG256" s="56"/>
      <c r="CH256" s="56"/>
      <c r="CI256" s="56"/>
      <c r="CJ256" s="56"/>
      <c r="CK256" s="56"/>
      <c r="CL256" s="56"/>
      <c r="CM256" s="56"/>
      <c r="CN256" s="56"/>
      <c r="CO256" s="56"/>
      <c r="CP256" s="56"/>
      <c r="CQ256" s="56"/>
      <c r="CR256" s="56"/>
      <c r="CS256" s="56"/>
      <c r="CT256" s="56"/>
      <c r="CU256" s="56"/>
      <c r="CV256" s="56"/>
      <c r="CW256" s="56"/>
      <c r="CX256" s="56"/>
      <c r="CY256" s="56"/>
      <c r="CZ256" s="56"/>
      <c r="DA256" s="56"/>
      <c r="DB256" s="56"/>
      <c r="DC256" s="56"/>
      <c r="DD256" s="56"/>
      <c r="DE256" s="56"/>
      <c r="DF256" s="56"/>
      <c r="DG256" s="56"/>
    </row>
    <row r="257" spans="17:111">
      <c r="Q257" s="56"/>
      <c r="R257" s="56"/>
      <c r="S257" s="56"/>
      <c r="T257" s="56"/>
      <c r="U257" s="56"/>
      <c r="V257" s="56"/>
      <c r="W257" s="56"/>
      <c r="X257" s="56"/>
      <c r="Y257" s="93"/>
      <c r="Z257" s="83"/>
      <c r="AA257" s="82"/>
      <c r="AB257" s="83"/>
      <c r="AC257" s="56"/>
      <c r="AD257" s="56"/>
      <c r="AE257" s="56"/>
      <c r="AF257" s="181"/>
      <c r="AG257" s="181"/>
      <c r="AH257" s="184"/>
      <c r="AI257" s="56"/>
      <c r="AJ257" s="56"/>
      <c r="AK257" s="56"/>
      <c r="AL257" s="56"/>
      <c r="AM257" s="56"/>
      <c r="AN257" s="56"/>
      <c r="AO257" s="56"/>
      <c r="AP257" s="56"/>
      <c r="AQ257" s="56"/>
      <c r="AR257" s="56"/>
      <c r="AS257" s="56"/>
      <c r="AT257" s="56"/>
      <c r="AU257" s="56"/>
      <c r="AV257" s="56"/>
      <c r="AW257" s="56"/>
      <c r="AX257" s="56"/>
      <c r="AY257" s="56"/>
      <c r="AZ257" s="56"/>
      <c r="BA257" s="56"/>
      <c r="BB257" s="56"/>
      <c r="BC257" s="56"/>
      <c r="BD257" s="56"/>
      <c r="BE257" s="56"/>
      <c r="BF257" s="56"/>
      <c r="BG257" s="56"/>
      <c r="BH257" s="56"/>
      <c r="BI257" s="56"/>
      <c r="BJ257" s="56"/>
      <c r="BK257" s="56"/>
      <c r="BL257" s="56"/>
      <c r="BM257" s="56"/>
      <c r="BN257" s="56"/>
      <c r="BO257" s="56"/>
      <c r="BP257" s="56"/>
      <c r="BQ257" s="56"/>
      <c r="BR257" s="56"/>
      <c r="BS257" s="56"/>
      <c r="BT257" s="56"/>
      <c r="BU257" s="56"/>
      <c r="BV257" s="56"/>
      <c r="BW257" s="56"/>
      <c r="BX257" s="56"/>
      <c r="BY257" s="56"/>
      <c r="BZ257" s="56"/>
      <c r="CA257" s="56"/>
      <c r="CB257" s="56"/>
      <c r="CC257" s="56"/>
      <c r="CD257" s="56"/>
      <c r="CE257" s="56"/>
      <c r="CF257" s="56"/>
      <c r="CG257" s="56"/>
      <c r="CH257" s="56"/>
      <c r="CI257" s="56"/>
      <c r="CJ257" s="56"/>
      <c r="CK257" s="56"/>
      <c r="CL257" s="56"/>
      <c r="CM257" s="56"/>
      <c r="CN257" s="56"/>
      <c r="CO257" s="56"/>
      <c r="CP257" s="56"/>
      <c r="CQ257" s="56"/>
      <c r="CR257" s="56"/>
      <c r="CS257" s="56"/>
      <c r="CT257" s="56"/>
      <c r="CU257" s="56"/>
      <c r="CV257" s="56"/>
      <c r="CW257" s="56"/>
      <c r="CX257" s="56"/>
      <c r="CY257" s="56"/>
      <c r="CZ257" s="56"/>
      <c r="DA257" s="56"/>
      <c r="DB257" s="56"/>
      <c r="DC257" s="56"/>
      <c r="DD257" s="56"/>
      <c r="DE257" s="56"/>
      <c r="DF257" s="56"/>
      <c r="DG257" s="56"/>
    </row>
    <row r="258" spans="17:111">
      <c r="Q258" s="56"/>
      <c r="R258" s="56"/>
      <c r="S258" s="56"/>
      <c r="T258" s="56"/>
      <c r="U258" s="56"/>
      <c r="V258" s="56"/>
      <c r="W258" s="56"/>
      <c r="X258" s="56"/>
      <c r="Y258" s="93"/>
      <c r="Z258" s="83"/>
      <c r="AA258" s="82"/>
      <c r="AB258" s="83"/>
      <c r="AC258" s="56"/>
      <c r="AD258" s="56"/>
      <c r="AE258" s="56"/>
      <c r="AF258" s="56"/>
      <c r="AG258" s="56"/>
      <c r="AH258" s="56"/>
      <c r="AI258" s="56"/>
      <c r="AJ258" s="56"/>
      <c r="AK258" s="56"/>
      <c r="AL258" s="56"/>
      <c r="AM258" s="93"/>
      <c r="AN258" s="82"/>
      <c r="AO258" s="56"/>
      <c r="AP258" s="56"/>
      <c r="AQ258" s="56"/>
      <c r="AR258" s="56"/>
      <c r="AS258" s="56"/>
      <c r="AT258" s="56"/>
      <c r="AU258" s="56"/>
      <c r="AV258" s="56"/>
      <c r="AW258" s="56"/>
      <c r="AX258" s="56"/>
      <c r="AY258" s="56"/>
      <c r="AZ258" s="56"/>
      <c r="BA258" s="56"/>
      <c r="BB258" s="56"/>
      <c r="BC258" s="56"/>
      <c r="BD258" s="56"/>
      <c r="BE258" s="56"/>
      <c r="BF258" s="56"/>
      <c r="BG258" s="56"/>
      <c r="BH258" s="56"/>
      <c r="BI258" s="56"/>
      <c r="BJ258" s="56"/>
      <c r="BK258" s="56"/>
      <c r="BL258" s="56"/>
      <c r="BM258" s="56"/>
      <c r="BN258" s="56"/>
      <c r="BO258" s="56"/>
      <c r="BP258" s="56"/>
      <c r="BQ258" s="56"/>
      <c r="BR258" s="56"/>
      <c r="BS258" s="56"/>
      <c r="BT258" s="56"/>
      <c r="BU258" s="56"/>
      <c r="BV258" s="56"/>
      <c r="BW258" s="56"/>
      <c r="BX258" s="56"/>
      <c r="BY258" s="56"/>
      <c r="BZ258" s="56"/>
      <c r="CA258" s="56"/>
      <c r="CB258" s="56"/>
      <c r="CC258" s="56"/>
      <c r="CD258" s="56"/>
      <c r="CE258" s="56"/>
      <c r="CF258" s="56"/>
      <c r="CG258" s="56"/>
      <c r="CH258" s="56"/>
      <c r="CI258" s="56"/>
      <c r="CJ258" s="56"/>
      <c r="CK258" s="56"/>
      <c r="CL258" s="56"/>
      <c r="CM258" s="56"/>
      <c r="CN258" s="56"/>
      <c r="CO258" s="56"/>
      <c r="CP258" s="56"/>
      <c r="CQ258" s="56"/>
      <c r="CR258" s="56"/>
      <c r="CS258" s="56"/>
      <c r="CT258" s="56"/>
      <c r="CU258" s="56"/>
      <c r="CV258" s="56"/>
      <c r="CW258" s="56"/>
      <c r="CX258" s="56"/>
      <c r="CY258" s="56"/>
      <c r="CZ258" s="56"/>
      <c r="DA258" s="56"/>
      <c r="DB258" s="56"/>
      <c r="DC258" s="56"/>
      <c r="DD258" s="56"/>
      <c r="DE258" s="56"/>
      <c r="DF258" s="56"/>
      <c r="DG258" s="56"/>
    </row>
    <row r="259" spans="17:111">
      <c r="Q259" s="56"/>
      <c r="R259" s="56"/>
      <c r="S259" s="56"/>
      <c r="T259" s="56"/>
      <c r="U259" s="56"/>
      <c r="V259" s="56"/>
      <c r="W259" s="56"/>
      <c r="X259" s="56"/>
      <c r="Y259" s="93"/>
      <c r="Z259" s="83"/>
      <c r="AA259" s="82"/>
      <c r="AB259" s="83"/>
      <c r="AC259" s="56"/>
      <c r="AD259" s="56"/>
      <c r="AE259" s="56"/>
      <c r="AF259" s="56"/>
      <c r="AG259" s="56"/>
      <c r="AH259" s="56"/>
      <c r="AI259" s="56"/>
      <c r="AJ259" s="56"/>
      <c r="AK259" s="56"/>
      <c r="AL259" s="56"/>
      <c r="AM259" s="93"/>
      <c r="AN259" s="82"/>
      <c r="AO259" s="56"/>
      <c r="AP259" s="56"/>
      <c r="AQ259" s="56"/>
      <c r="AR259" s="56"/>
      <c r="AS259" s="56"/>
      <c r="AT259" s="56"/>
      <c r="AU259" s="56"/>
      <c r="AV259" s="56"/>
      <c r="AW259" s="56"/>
      <c r="AX259" s="56"/>
      <c r="AY259" s="56"/>
      <c r="AZ259" s="56"/>
      <c r="BA259" s="56"/>
      <c r="BB259" s="56"/>
      <c r="BC259" s="56"/>
      <c r="BD259" s="56"/>
      <c r="BE259" s="56"/>
      <c r="BF259" s="56"/>
      <c r="BG259" s="56"/>
      <c r="BH259" s="56"/>
      <c r="BI259" s="56"/>
      <c r="BJ259" s="56"/>
      <c r="BK259" s="56"/>
      <c r="BL259" s="56"/>
      <c r="BM259" s="56"/>
      <c r="BN259" s="56"/>
      <c r="BO259" s="56"/>
      <c r="BP259" s="56"/>
      <c r="BQ259" s="56"/>
      <c r="BR259" s="56"/>
      <c r="BS259" s="56"/>
      <c r="BT259" s="56"/>
      <c r="BU259" s="56"/>
      <c r="BV259" s="56"/>
      <c r="BW259" s="56"/>
      <c r="BX259" s="56"/>
      <c r="BY259" s="56"/>
      <c r="BZ259" s="56"/>
      <c r="CA259" s="56"/>
      <c r="CB259" s="56"/>
      <c r="CC259" s="56"/>
      <c r="CD259" s="56"/>
      <c r="CE259" s="56"/>
      <c r="CF259" s="56"/>
      <c r="CG259" s="56"/>
      <c r="CH259" s="56"/>
      <c r="CI259" s="56"/>
      <c r="CJ259" s="56"/>
      <c r="CK259" s="56"/>
      <c r="CL259" s="56"/>
      <c r="CM259" s="56"/>
      <c r="CN259" s="56"/>
      <c r="CO259" s="56"/>
      <c r="CP259" s="56"/>
      <c r="CQ259" s="56"/>
      <c r="CR259" s="56"/>
      <c r="CS259" s="56"/>
      <c r="CT259" s="56"/>
      <c r="CU259" s="56"/>
      <c r="CV259" s="56"/>
      <c r="CW259" s="56"/>
      <c r="CX259" s="56"/>
      <c r="CY259" s="56"/>
      <c r="CZ259" s="56"/>
      <c r="DA259" s="56"/>
      <c r="DB259" s="56"/>
      <c r="DC259" s="56"/>
      <c r="DD259" s="56"/>
      <c r="DE259" s="56"/>
      <c r="DF259" s="56"/>
      <c r="DG259" s="56"/>
    </row>
    <row r="260" spans="17:111">
      <c r="Q260" s="56"/>
      <c r="R260" s="56"/>
      <c r="S260" s="56"/>
      <c r="T260" s="56"/>
      <c r="U260" s="56"/>
      <c r="V260" s="56"/>
      <c r="W260" s="56"/>
      <c r="X260" s="56"/>
      <c r="Y260" s="93"/>
      <c r="Z260" s="83"/>
      <c r="AA260" s="82"/>
      <c r="AB260" s="83"/>
      <c r="AC260" s="56"/>
      <c r="AD260" s="56"/>
      <c r="AE260" s="56"/>
      <c r="AF260" s="56"/>
      <c r="AG260" s="185"/>
      <c r="AH260" s="56"/>
      <c r="AI260" s="56"/>
      <c r="AJ260" s="56"/>
      <c r="AK260" s="176"/>
      <c r="AL260" s="56"/>
      <c r="AM260" s="56"/>
      <c r="AN260" s="56"/>
      <c r="AO260" s="56"/>
      <c r="AP260" s="56"/>
      <c r="AQ260" s="56"/>
      <c r="AR260" s="56"/>
      <c r="AS260" s="56"/>
      <c r="AT260" s="56"/>
      <c r="AU260" s="56"/>
      <c r="AV260" s="56"/>
      <c r="AW260" s="56"/>
      <c r="AX260" s="56"/>
      <c r="AY260" s="56"/>
      <c r="AZ260" s="56"/>
      <c r="BA260" s="56"/>
      <c r="BB260" s="56"/>
      <c r="BC260" s="56"/>
      <c r="BD260" s="56"/>
      <c r="BE260" s="56"/>
      <c r="BF260" s="56"/>
      <c r="BG260" s="56"/>
      <c r="BH260" s="56"/>
      <c r="BI260" s="56"/>
      <c r="BJ260" s="56"/>
      <c r="BK260" s="56"/>
      <c r="BL260" s="56"/>
      <c r="BM260" s="56"/>
      <c r="BN260" s="56"/>
      <c r="BO260" s="56"/>
      <c r="BP260" s="56"/>
      <c r="BQ260" s="56"/>
      <c r="BR260" s="56"/>
      <c r="BS260" s="56"/>
      <c r="BT260" s="56"/>
      <c r="BU260" s="56"/>
      <c r="BV260" s="56"/>
      <c r="BW260" s="56"/>
      <c r="BX260" s="56"/>
      <c r="BY260" s="56"/>
      <c r="BZ260" s="56"/>
      <c r="CA260" s="56"/>
      <c r="CB260" s="56"/>
      <c r="CC260" s="56"/>
      <c r="CD260" s="56"/>
      <c r="CE260" s="56"/>
      <c r="CF260" s="56"/>
      <c r="CG260" s="56"/>
      <c r="CH260" s="56"/>
      <c r="CI260" s="56"/>
      <c r="CJ260" s="56"/>
      <c r="CK260" s="56"/>
      <c r="CL260" s="56"/>
      <c r="CM260" s="56"/>
      <c r="CN260" s="56"/>
      <c r="CO260" s="56"/>
      <c r="CP260" s="56"/>
      <c r="CQ260" s="56"/>
      <c r="CR260" s="56"/>
      <c r="CS260" s="56"/>
      <c r="CT260" s="56"/>
      <c r="CU260" s="56"/>
      <c r="CV260" s="56"/>
      <c r="CW260" s="56"/>
      <c r="CX260" s="56"/>
      <c r="CY260" s="56"/>
      <c r="CZ260" s="56"/>
      <c r="DA260" s="56"/>
      <c r="DB260" s="56"/>
      <c r="DC260" s="56"/>
      <c r="DD260" s="56"/>
      <c r="DE260" s="56"/>
      <c r="DF260" s="56"/>
      <c r="DG260" s="56"/>
    </row>
    <row r="261" spans="17:111">
      <c r="Q261" s="56"/>
      <c r="R261" s="56"/>
      <c r="S261" s="56"/>
      <c r="T261" s="56"/>
      <c r="U261" s="56"/>
      <c r="V261" s="56"/>
      <c r="W261" s="56"/>
      <c r="X261" s="56"/>
      <c r="Y261" s="93"/>
      <c r="Z261" s="83"/>
      <c r="AA261" s="82"/>
      <c r="AB261" s="83"/>
      <c r="AC261" s="56"/>
      <c r="AD261" s="56"/>
      <c r="AE261" s="56"/>
      <c r="AF261" s="56"/>
      <c r="AG261" s="56"/>
      <c r="AH261" s="82"/>
      <c r="AI261" s="56"/>
      <c r="AJ261" s="56"/>
      <c r="AK261" s="56"/>
      <c r="AL261" s="56"/>
      <c r="AM261" s="56"/>
      <c r="AN261" s="56"/>
      <c r="AO261" s="56"/>
      <c r="AP261" s="56"/>
      <c r="AQ261" s="56"/>
      <c r="AR261" s="56"/>
      <c r="AS261" s="56"/>
      <c r="AT261" s="56"/>
      <c r="AU261" s="56"/>
      <c r="AV261" s="56"/>
      <c r="AW261" s="56"/>
      <c r="AX261" s="56"/>
      <c r="AY261" s="56"/>
      <c r="AZ261" s="56"/>
      <c r="BA261" s="56"/>
      <c r="BB261" s="56"/>
      <c r="BC261" s="56"/>
      <c r="BD261" s="56"/>
      <c r="BE261" s="56"/>
      <c r="BF261" s="56"/>
      <c r="BG261" s="56"/>
      <c r="BH261" s="56"/>
      <c r="BI261" s="56"/>
      <c r="BJ261" s="56"/>
      <c r="BK261" s="56"/>
      <c r="BL261" s="56"/>
      <c r="BM261" s="56"/>
      <c r="BN261" s="56"/>
      <c r="BO261" s="56"/>
      <c r="BP261" s="56"/>
      <c r="BQ261" s="56"/>
      <c r="BR261" s="56"/>
      <c r="BS261" s="56"/>
      <c r="BT261" s="56"/>
      <c r="BU261" s="56"/>
      <c r="BV261" s="56"/>
      <c r="BW261" s="56"/>
      <c r="BX261" s="56"/>
      <c r="BY261" s="56"/>
      <c r="BZ261" s="56"/>
      <c r="CA261" s="56"/>
      <c r="CB261" s="56"/>
      <c r="CC261" s="56"/>
      <c r="CD261" s="56"/>
      <c r="CE261" s="56"/>
      <c r="CF261" s="56"/>
      <c r="CG261" s="56"/>
      <c r="CH261" s="56"/>
      <c r="CI261" s="56"/>
      <c r="CJ261" s="56"/>
      <c r="CK261" s="56"/>
      <c r="CL261" s="56"/>
      <c r="CM261" s="56"/>
      <c r="CN261" s="56"/>
      <c r="CO261" s="56"/>
      <c r="CP261" s="56"/>
      <c r="CQ261" s="56"/>
      <c r="CR261" s="56"/>
      <c r="CS261" s="56"/>
      <c r="CT261" s="56"/>
      <c r="CU261" s="56"/>
      <c r="CV261" s="56"/>
      <c r="CW261" s="56"/>
      <c r="CX261" s="56"/>
      <c r="CY261" s="56"/>
      <c r="CZ261" s="56"/>
      <c r="DA261" s="56"/>
      <c r="DB261" s="56"/>
      <c r="DC261" s="56"/>
      <c r="DD261" s="56"/>
      <c r="DE261" s="56"/>
      <c r="DF261" s="56"/>
      <c r="DG261" s="56"/>
    </row>
    <row r="262" spans="17:111">
      <c r="Q262" s="56"/>
      <c r="R262" s="56"/>
      <c r="S262" s="56"/>
      <c r="T262" s="56"/>
      <c r="U262" s="56"/>
      <c r="V262" s="56"/>
      <c r="W262" s="56"/>
      <c r="X262" s="56"/>
      <c r="Y262" s="93"/>
      <c r="Z262" s="83"/>
      <c r="AA262" s="82"/>
      <c r="AB262" s="83"/>
      <c r="AC262" s="56"/>
      <c r="AD262" s="56"/>
      <c r="AE262" s="56"/>
      <c r="AF262" s="175"/>
      <c r="AG262" s="82"/>
      <c r="AH262" s="82"/>
      <c r="AI262" s="82"/>
      <c r="AJ262" s="82"/>
      <c r="AK262" s="175"/>
      <c r="AL262" s="175"/>
      <c r="AM262" s="56"/>
      <c r="AN262" s="56"/>
      <c r="AO262" s="56"/>
      <c r="AP262" s="56"/>
      <c r="AQ262" s="56"/>
      <c r="AR262" s="56"/>
      <c r="AS262" s="56"/>
      <c r="AT262" s="56"/>
      <c r="AU262" s="56"/>
      <c r="AV262" s="56"/>
      <c r="AW262" s="56"/>
      <c r="AX262" s="56"/>
      <c r="AY262" s="56"/>
      <c r="AZ262" s="56"/>
      <c r="BA262" s="56"/>
      <c r="BB262" s="56"/>
      <c r="BC262" s="56"/>
      <c r="BD262" s="56"/>
      <c r="BE262" s="56"/>
      <c r="BF262" s="56"/>
      <c r="BG262" s="56"/>
      <c r="BH262" s="56"/>
      <c r="BI262" s="56"/>
    </row>
    <row r="263" spans="17:111">
      <c r="Q263" s="56"/>
      <c r="R263" s="56"/>
      <c r="S263" s="56"/>
      <c r="T263" s="56"/>
      <c r="U263" s="56"/>
      <c r="V263" s="56"/>
      <c r="W263" s="56"/>
      <c r="X263" s="56"/>
      <c r="Y263" s="93"/>
      <c r="Z263" s="83"/>
      <c r="AA263" s="82"/>
      <c r="AB263" s="83"/>
      <c r="AC263" s="56"/>
      <c r="AD263" s="56"/>
      <c r="AE263" s="56"/>
      <c r="AF263" s="82"/>
      <c r="AG263" s="82"/>
      <c r="AH263" s="56"/>
      <c r="AI263" s="82"/>
      <c r="AJ263" s="82"/>
      <c r="AK263" s="174"/>
      <c r="AL263" s="82"/>
      <c r="AM263" s="56"/>
      <c r="AN263" s="56"/>
      <c r="AO263" s="56"/>
      <c r="AP263" s="56"/>
      <c r="AQ263" s="56"/>
      <c r="AR263" s="56"/>
      <c r="AS263" s="56"/>
      <c r="AT263" s="56"/>
      <c r="AU263" s="56"/>
      <c r="AV263" s="56"/>
      <c r="AW263" s="56"/>
      <c r="AX263" s="56"/>
      <c r="AY263" s="56"/>
      <c r="AZ263" s="56"/>
      <c r="BA263" s="56"/>
      <c r="BB263" s="56"/>
      <c r="BC263" s="56"/>
      <c r="BD263" s="56"/>
      <c r="BE263" s="56"/>
      <c r="BF263" s="56"/>
      <c r="BG263" s="56"/>
      <c r="BH263" s="56"/>
      <c r="BI263" s="56"/>
    </row>
    <row r="264" spans="17:111">
      <c r="Q264" s="56"/>
      <c r="R264" s="56"/>
      <c r="S264" s="56"/>
      <c r="T264" s="56"/>
      <c r="U264" s="56"/>
      <c r="V264" s="56"/>
      <c r="W264" s="56"/>
      <c r="X264" s="56"/>
      <c r="Y264" s="56"/>
      <c r="Z264" s="56"/>
      <c r="AA264" s="56"/>
      <c r="AB264" s="56"/>
      <c r="AC264" s="56"/>
      <c r="AD264" s="56"/>
      <c r="AE264" s="56"/>
      <c r="AF264" s="179"/>
      <c r="AG264" s="179"/>
      <c r="AH264" s="56"/>
      <c r="AI264" s="93"/>
      <c r="AJ264" s="93"/>
      <c r="AK264" s="136"/>
      <c r="AL264" s="136"/>
      <c r="AM264" s="56"/>
      <c r="AN264" s="56"/>
      <c r="AO264" s="56"/>
      <c r="AP264" s="56"/>
      <c r="AQ264" s="56"/>
      <c r="AR264" s="56"/>
      <c r="AS264" s="56"/>
      <c r="AT264" s="56"/>
      <c r="AU264" s="56"/>
      <c r="AV264" s="93"/>
      <c r="AW264" s="93"/>
      <c r="AX264" s="56"/>
      <c r="AY264" s="56"/>
      <c r="AZ264" s="93"/>
      <c r="BA264" s="56"/>
      <c r="BB264" s="56"/>
      <c r="BC264" s="93"/>
      <c r="BD264" s="56"/>
      <c r="BE264" s="56"/>
      <c r="BF264" s="56"/>
      <c r="BG264" s="56"/>
      <c r="BH264" s="56"/>
      <c r="BI264" s="56"/>
    </row>
    <row r="265" spans="17:111">
      <c r="Q265" s="56"/>
      <c r="R265" s="56"/>
      <c r="S265" s="56"/>
      <c r="T265" s="56"/>
      <c r="U265" s="56"/>
      <c r="V265" s="56"/>
      <c r="W265" s="56"/>
      <c r="X265" s="56"/>
      <c r="Y265" s="56"/>
      <c r="Z265" s="56"/>
      <c r="AA265" s="56"/>
      <c r="AB265" s="56"/>
      <c r="AC265" s="56"/>
      <c r="AD265" s="56"/>
      <c r="AE265" s="56"/>
      <c r="AF265" s="178"/>
      <c r="AG265" s="56"/>
      <c r="AH265" s="56"/>
      <c r="AI265" s="56"/>
      <c r="AJ265" s="56"/>
      <c r="AK265" s="56"/>
      <c r="AL265" s="56"/>
      <c r="AM265" s="56"/>
      <c r="AN265" s="56"/>
      <c r="AO265" s="56"/>
      <c r="AP265" s="56"/>
      <c r="AQ265" s="56"/>
      <c r="AR265" s="56"/>
      <c r="AS265" s="56"/>
      <c r="AT265" s="56"/>
      <c r="AU265" s="56"/>
      <c r="AV265" s="93"/>
      <c r="AW265" s="83"/>
      <c r="AX265" s="56"/>
      <c r="AY265" s="56"/>
      <c r="AZ265" s="93"/>
      <c r="BA265" s="186"/>
      <c r="BB265" s="186"/>
      <c r="BC265" s="93"/>
      <c r="BD265" s="56"/>
      <c r="BE265" s="56"/>
      <c r="BF265" s="56"/>
      <c r="BG265" s="56"/>
      <c r="BH265" s="56"/>
      <c r="BI265" s="56"/>
    </row>
    <row r="266" spans="17:111">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c r="AT266" s="56"/>
      <c r="AU266" s="56"/>
      <c r="AV266" s="93"/>
      <c r="AW266" s="83"/>
      <c r="AX266" s="56"/>
      <c r="AY266" s="56"/>
      <c r="AZ266" s="56"/>
      <c r="BA266" s="56"/>
      <c r="BB266" s="56"/>
      <c r="BC266" s="56"/>
      <c r="BD266" s="56"/>
      <c r="BE266" s="56"/>
      <c r="BF266" s="56"/>
      <c r="BG266" s="56"/>
      <c r="BH266" s="56"/>
      <c r="BI266" s="56"/>
    </row>
    <row r="267" spans="17:111">
      <c r="Q267" s="56"/>
      <c r="R267" s="56"/>
      <c r="S267" s="56"/>
      <c r="T267" s="56"/>
      <c r="U267" s="56"/>
      <c r="V267" s="56"/>
      <c r="W267" s="56"/>
      <c r="X267" s="56"/>
      <c r="Y267" s="56"/>
      <c r="Z267" s="56"/>
      <c r="AA267" s="56"/>
      <c r="AB267" s="56"/>
      <c r="AC267" s="56"/>
      <c r="AD267" s="56"/>
      <c r="AE267" s="56"/>
      <c r="AF267" s="187"/>
      <c r="AG267" s="187"/>
      <c r="AH267" s="56"/>
      <c r="AI267" s="56"/>
      <c r="AJ267" s="56"/>
      <c r="AK267" s="56"/>
      <c r="AL267" s="56"/>
      <c r="AM267" s="56"/>
      <c r="AN267" s="56"/>
      <c r="AO267" s="56"/>
      <c r="AP267" s="56"/>
      <c r="AQ267" s="56"/>
      <c r="AR267" s="56"/>
      <c r="AS267" s="56"/>
      <c r="AT267" s="56"/>
      <c r="AU267" s="56"/>
      <c r="AV267" s="56"/>
      <c r="AW267" s="56"/>
      <c r="AX267" s="56"/>
      <c r="AY267" s="56"/>
      <c r="AZ267" s="56"/>
      <c r="BA267" s="56"/>
      <c r="BB267" s="56"/>
      <c r="BC267" s="56"/>
      <c r="BD267" s="56"/>
      <c r="BE267" s="56"/>
      <c r="BF267" s="56"/>
      <c r="BG267" s="56"/>
      <c r="BH267" s="56"/>
      <c r="BI267" s="56"/>
    </row>
    <row r="268" spans="17:111">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c r="AT268" s="56"/>
      <c r="AU268" s="56"/>
      <c r="AV268" s="56"/>
      <c r="AW268" s="56"/>
      <c r="AX268" s="56"/>
      <c r="AY268" s="56"/>
      <c r="AZ268" s="56"/>
      <c r="BA268" s="56"/>
      <c r="BB268" s="56"/>
      <c r="BC268" s="56"/>
      <c r="BD268" s="56"/>
      <c r="BE268" s="56"/>
      <c r="BF268" s="56"/>
      <c r="BG268" s="56"/>
      <c r="BH268" s="56"/>
      <c r="BI268" s="56"/>
    </row>
    <row r="269" spans="17:111">
      <c r="Q269" s="56"/>
      <c r="R269" s="56"/>
      <c r="S269" s="56"/>
      <c r="T269" s="56"/>
      <c r="U269" s="56"/>
      <c r="V269" s="56"/>
      <c r="W269" s="56"/>
      <c r="X269" s="56"/>
      <c r="Y269" s="56"/>
      <c r="Z269" s="56"/>
      <c r="AA269" s="56"/>
      <c r="AB269" s="56"/>
      <c r="AC269" s="56"/>
      <c r="AD269" s="56"/>
      <c r="AE269" s="56"/>
      <c r="AF269" s="93"/>
      <c r="AG269" s="83"/>
      <c r="AH269" s="56"/>
      <c r="AI269" s="56"/>
      <c r="AJ269" s="56"/>
      <c r="AK269" s="56"/>
      <c r="AL269" s="56"/>
      <c r="AM269" s="56"/>
      <c r="AN269" s="56"/>
      <c r="AO269" s="56"/>
      <c r="AP269" s="56"/>
      <c r="AQ269" s="56"/>
      <c r="AR269" s="56"/>
      <c r="AS269" s="56"/>
      <c r="AT269" s="56"/>
      <c r="AU269" s="56"/>
      <c r="AV269" s="56"/>
      <c r="AW269" s="56"/>
      <c r="AX269" s="56"/>
      <c r="AY269" s="56"/>
      <c r="AZ269" s="56"/>
      <c r="BA269" s="56"/>
      <c r="BB269" s="56"/>
      <c r="BC269" s="56"/>
      <c r="BD269" s="56"/>
      <c r="BE269" s="56"/>
      <c r="BF269" s="56"/>
      <c r="BG269" s="56"/>
      <c r="BH269" s="56"/>
      <c r="BI269" s="56"/>
    </row>
    <row r="270" spans="17:111">
      <c r="Q270" s="56"/>
      <c r="R270" s="56"/>
      <c r="S270" s="56"/>
      <c r="T270" s="56"/>
      <c r="U270" s="56"/>
      <c r="V270" s="56"/>
      <c r="W270" s="56"/>
      <c r="X270" s="56"/>
      <c r="Y270" s="56"/>
      <c r="Z270" s="56"/>
      <c r="AA270" s="56"/>
      <c r="AB270" s="56"/>
      <c r="AC270" s="56"/>
      <c r="AD270" s="56"/>
      <c r="AE270" s="56"/>
      <c r="AF270" s="93"/>
      <c r="AG270" s="83"/>
      <c r="AH270" s="56"/>
      <c r="AI270" s="56"/>
      <c r="AJ270" s="56"/>
      <c r="AK270" s="56"/>
      <c r="AL270" s="56"/>
      <c r="AM270" s="56"/>
      <c r="AN270" s="56"/>
      <c r="AO270" s="56"/>
      <c r="AP270" s="56"/>
      <c r="AQ270" s="56"/>
      <c r="AR270" s="56"/>
      <c r="AS270" s="56"/>
      <c r="AT270" s="56"/>
      <c r="AU270" s="56"/>
      <c r="AV270" s="56"/>
      <c r="AW270" s="56"/>
      <c r="AX270" s="56"/>
      <c r="AY270" s="56"/>
      <c r="AZ270" s="56"/>
      <c r="BA270" s="56"/>
      <c r="BB270" s="56"/>
      <c r="BC270" s="56"/>
      <c r="BD270" s="56"/>
      <c r="BE270" s="56"/>
      <c r="BF270" s="56"/>
      <c r="BG270" s="56"/>
      <c r="BH270" s="56"/>
      <c r="BI270" s="56"/>
    </row>
    <row r="271" spans="17:111">
      <c r="Q271" s="56"/>
      <c r="R271" s="56"/>
      <c r="S271" s="56"/>
      <c r="T271" s="56"/>
      <c r="U271" s="56"/>
      <c r="V271" s="56"/>
      <c r="W271" s="56"/>
      <c r="X271" s="56"/>
      <c r="Y271" s="56"/>
      <c r="Z271" s="56"/>
      <c r="AA271" s="56"/>
      <c r="AB271" s="56"/>
      <c r="AC271" s="56"/>
      <c r="AD271" s="56"/>
      <c r="AE271" s="56"/>
      <c r="AF271" s="93"/>
      <c r="AG271" s="83"/>
      <c r="AH271" s="56"/>
      <c r="AI271" s="56"/>
      <c r="AJ271" s="56"/>
      <c r="AK271" s="56"/>
      <c r="AL271" s="56"/>
      <c r="AM271" s="56"/>
      <c r="AN271" s="56"/>
      <c r="AO271" s="56"/>
      <c r="AP271" s="56"/>
      <c r="AQ271" s="56"/>
      <c r="AR271" s="56"/>
      <c r="AS271" s="56"/>
      <c r="AT271" s="56"/>
      <c r="AU271" s="56"/>
      <c r="AV271" s="56"/>
      <c r="AW271" s="56"/>
      <c r="AX271" s="56"/>
      <c r="AY271" s="56"/>
      <c r="AZ271" s="56"/>
      <c r="BA271" s="56"/>
      <c r="BB271" s="56"/>
      <c r="BC271" s="56"/>
      <c r="BD271" s="56"/>
      <c r="BE271" s="56"/>
      <c r="BF271" s="56"/>
      <c r="BG271" s="56"/>
      <c r="BH271" s="56"/>
      <c r="BI271" s="56"/>
    </row>
    <row r="272" spans="17:111">
      <c r="Q272" s="56"/>
      <c r="R272" s="56"/>
      <c r="S272" s="56"/>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c r="AT272" s="56"/>
      <c r="AU272" s="56"/>
      <c r="AV272" s="56"/>
      <c r="AW272" s="56"/>
      <c r="AX272" s="56"/>
      <c r="AY272" s="56"/>
      <c r="AZ272" s="56"/>
      <c r="BA272" s="56"/>
      <c r="BB272" s="56"/>
      <c r="BC272" s="56"/>
      <c r="BD272" s="56"/>
      <c r="BE272" s="56"/>
      <c r="BF272" s="56"/>
      <c r="BG272" s="56"/>
      <c r="BH272" s="56"/>
      <c r="BI272" s="56"/>
    </row>
    <row r="273" spans="17:61">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c r="AT273" s="56"/>
      <c r="AU273" s="56"/>
      <c r="AV273" s="56"/>
      <c r="AW273" s="56"/>
      <c r="AX273" s="56"/>
      <c r="AY273" s="56"/>
      <c r="AZ273" s="56"/>
      <c r="BA273" s="56"/>
      <c r="BB273" s="56"/>
      <c r="BC273" s="56"/>
      <c r="BD273" s="56"/>
      <c r="BE273" s="56"/>
      <c r="BF273" s="56"/>
      <c r="BG273" s="56"/>
      <c r="BH273" s="56"/>
      <c r="BI273" s="56"/>
    </row>
    <row r="274" spans="17:61">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c r="AT274" s="56"/>
      <c r="AU274" s="56"/>
      <c r="AV274" s="56"/>
      <c r="AW274" s="56"/>
      <c r="AX274" s="56"/>
      <c r="AY274" s="56"/>
      <c r="AZ274" s="56"/>
      <c r="BA274" s="56"/>
      <c r="BB274" s="56"/>
      <c r="BC274" s="56"/>
      <c r="BD274" s="56"/>
      <c r="BE274" s="56"/>
      <c r="BF274" s="56"/>
      <c r="BG274" s="56"/>
      <c r="BH274" s="56"/>
      <c r="BI274" s="56"/>
    </row>
    <row r="275" spans="17:61">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c r="AT275" s="56"/>
      <c r="AU275" s="56"/>
      <c r="AV275" s="56"/>
      <c r="AW275" s="56"/>
      <c r="AX275" s="56"/>
      <c r="AY275" s="56"/>
      <c r="AZ275" s="56"/>
      <c r="BA275" s="56"/>
      <c r="BB275" s="56"/>
      <c r="BC275" s="56"/>
      <c r="BD275" s="56"/>
      <c r="BE275" s="56"/>
      <c r="BF275" s="56"/>
      <c r="BG275" s="56"/>
      <c r="BH275" s="56"/>
      <c r="BI275" s="56"/>
    </row>
    <row r="276" spans="17:61">
      <c r="Q276" s="56"/>
      <c r="R276" s="56"/>
      <c r="S276" s="56"/>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c r="AT276" s="56"/>
      <c r="AU276" s="56"/>
      <c r="AV276" s="56"/>
      <c r="AW276" s="56"/>
      <c r="AX276" s="56"/>
      <c r="AY276" s="56"/>
      <c r="AZ276" s="56"/>
      <c r="BA276" s="56"/>
      <c r="BB276" s="56"/>
      <c r="BC276" s="56"/>
      <c r="BD276" s="56"/>
      <c r="BE276" s="56"/>
      <c r="BF276" s="56"/>
      <c r="BG276" s="56"/>
      <c r="BH276" s="56"/>
      <c r="BI276" s="56"/>
    </row>
    <row r="277" spans="17:61">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c r="AT277" s="56"/>
      <c r="AU277" s="56"/>
      <c r="AV277" s="56"/>
      <c r="AW277" s="56"/>
      <c r="AX277" s="56"/>
      <c r="AY277" s="56"/>
      <c r="AZ277" s="56"/>
      <c r="BA277" s="56"/>
      <c r="BB277" s="56"/>
      <c r="BC277" s="56"/>
      <c r="BD277" s="56"/>
      <c r="BE277" s="56"/>
      <c r="BF277" s="56"/>
      <c r="BG277" s="56"/>
      <c r="BH277" s="56"/>
      <c r="BI277" s="56"/>
    </row>
    <row r="278" spans="17:61">
      <c r="Q278" s="56"/>
      <c r="R278" s="56"/>
      <c r="S278" s="56"/>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c r="AT278" s="56"/>
      <c r="AU278" s="56"/>
      <c r="AV278" s="56"/>
      <c r="AW278" s="56"/>
      <c r="AX278" s="56"/>
      <c r="AY278" s="56"/>
      <c r="AZ278" s="56"/>
      <c r="BA278" s="56"/>
      <c r="BB278" s="56"/>
      <c r="BC278" s="56"/>
      <c r="BD278" s="56"/>
      <c r="BE278" s="56"/>
      <c r="BF278" s="56"/>
      <c r="BG278" s="56"/>
      <c r="BH278" s="56"/>
      <c r="BI278" s="56"/>
    </row>
    <row r="279" spans="17:61">
      <c r="Q279" s="56"/>
      <c r="R279" s="56"/>
      <c r="S279" s="56"/>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c r="AT279" s="56"/>
      <c r="AU279" s="56"/>
      <c r="AV279" s="56"/>
      <c r="AW279" s="56"/>
      <c r="AX279" s="56"/>
      <c r="AY279" s="56"/>
      <c r="AZ279" s="56"/>
      <c r="BA279" s="56"/>
      <c r="BB279" s="56"/>
      <c r="BC279" s="56"/>
      <c r="BD279" s="56"/>
      <c r="BE279" s="56"/>
      <c r="BF279" s="56"/>
      <c r="BG279" s="56"/>
      <c r="BH279" s="56"/>
      <c r="BI279" s="56"/>
    </row>
    <row r="280" spans="17:61">
      <c r="Q280" s="56"/>
      <c r="R280" s="56"/>
      <c r="S280" s="56"/>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c r="AT280" s="56"/>
      <c r="AU280" s="56"/>
      <c r="AV280" s="56"/>
      <c r="AW280" s="56"/>
      <c r="AX280" s="56"/>
      <c r="AY280" s="56"/>
      <c r="AZ280" s="56"/>
      <c r="BA280" s="56"/>
      <c r="BB280" s="56"/>
      <c r="BC280" s="56"/>
      <c r="BD280" s="56"/>
      <c r="BE280" s="56"/>
      <c r="BF280" s="56"/>
      <c r="BG280" s="56"/>
      <c r="BH280" s="56"/>
      <c r="BI280" s="56"/>
    </row>
    <row r="281" spans="17:61">
      <c r="Q281" s="56"/>
      <c r="R281" s="56"/>
      <c r="S281" s="56"/>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c r="AT281" s="56"/>
      <c r="AU281" s="56"/>
      <c r="AV281" s="56"/>
      <c r="AW281" s="56"/>
      <c r="AX281" s="56"/>
      <c r="AY281" s="56"/>
      <c r="AZ281" s="56"/>
      <c r="BA281" s="56"/>
      <c r="BB281" s="56"/>
      <c r="BC281" s="56"/>
      <c r="BD281" s="56"/>
      <c r="BE281" s="56"/>
      <c r="BF281" s="56"/>
      <c r="BG281" s="56"/>
      <c r="BH281" s="56"/>
      <c r="BI281" s="56"/>
    </row>
    <row r="282" spans="17:61">
      <c r="Q282" s="56"/>
      <c r="R282" s="56"/>
      <c r="S282" s="56"/>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c r="AS282" s="56"/>
      <c r="AT282" s="56"/>
      <c r="AU282" s="56"/>
      <c r="AV282" s="56"/>
      <c r="AW282" s="56"/>
      <c r="AX282" s="56"/>
      <c r="AY282" s="56"/>
      <c r="AZ282" s="56"/>
      <c r="BA282" s="56"/>
      <c r="BB282" s="56"/>
      <c r="BC282" s="56"/>
      <c r="BD282" s="56"/>
      <c r="BE282" s="56"/>
      <c r="BF282" s="56"/>
      <c r="BG282" s="56"/>
      <c r="BH282" s="56"/>
      <c r="BI282" s="56"/>
    </row>
    <row r="283" spans="17:61">
      <c r="Q283" s="56"/>
      <c r="R283" s="56"/>
      <c r="S283" s="56"/>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c r="AT283" s="56"/>
      <c r="AU283" s="56"/>
      <c r="AV283" s="56"/>
      <c r="AW283" s="56"/>
      <c r="AX283" s="56"/>
      <c r="AY283" s="56"/>
      <c r="AZ283" s="56"/>
      <c r="BA283" s="56"/>
      <c r="BB283" s="56"/>
      <c r="BC283" s="56"/>
      <c r="BD283" s="56"/>
      <c r="BE283" s="56"/>
      <c r="BF283" s="56"/>
      <c r="BG283" s="56"/>
      <c r="BH283" s="56"/>
      <c r="BI283" s="56"/>
    </row>
  </sheetData>
  <mergeCells count="5">
    <mergeCell ref="AC56:AC57"/>
    <mergeCell ref="AD56:AD57"/>
    <mergeCell ref="AE56:AE57"/>
    <mergeCell ref="AF56:AF57"/>
    <mergeCell ref="AG56:AG57"/>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3:CI247"/>
  <sheetViews>
    <sheetView workbookViewId="0">
      <pane xSplit="18750" topLeftCell="BJ1"/>
      <selection activeCell="F22" sqref="F22:F23"/>
      <selection pane="topRight" activeCell="BK20" sqref="BK20:BK21"/>
    </sheetView>
  </sheetViews>
  <sheetFormatPr defaultRowHeight="14.5"/>
  <cols>
    <col min="9" max="9" width="10.453125" style="36" customWidth="1"/>
    <col min="48" max="48" width="11.26953125" customWidth="1"/>
    <col min="70" max="70" width="18.7265625" customWidth="1"/>
    <col min="74" max="74" width="11.26953125" customWidth="1"/>
    <col min="78" max="78" width="12.26953125" customWidth="1"/>
  </cols>
  <sheetData>
    <row r="3" spans="25:78">
      <c r="AS3" s="240"/>
      <c r="AT3" s="240"/>
      <c r="AU3" s="240"/>
      <c r="AV3" s="240"/>
      <c r="AW3" s="151"/>
    </row>
    <row r="4" spans="25:78">
      <c r="Y4" s="240"/>
      <c r="Z4" s="240"/>
      <c r="AA4" s="240"/>
      <c r="AB4" s="240"/>
      <c r="AC4" s="151"/>
      <c r="AS4" s="240"/>
      <c r="AT4" s="240"/>
      <c r="AU4" s="240"/>
      <c r="AV4" s="240"/>
      <c r="AW4" s="151"/>
    </row>
    <row r="5" spans="25:78">
      <c r="Y5" s="240"/>
      <c r="Z5" s="240"/>
      <c r="AA5" s="240"/>
      <c r="AB5" s="240"/>
      <c r="AC5" s="151"/>
      <c r="AS5" s="240"/>
      <c r="AT5" s="240"/>
      <c r="AU5" s="240"/>
      <c r="AV5" s="240"/>
      <c r="AW5" s="151"/>
    </row>
    <row r="6" spans="25:78">
      <c r="Y6" s="240"/>
      <c r="Z6" s="240"/>
      <c r="AA6" s="240"/>
      <c r="AB6" s="240"/>
      <c r="AC6" s="151"/>
      <c r="AS6" s="240"/>
      <c r="AT6" s="240"/>
      <c r="AU6" s="240"/>
      <c r="AV6" s="240"/>
      <c r="AW6" s="151"/>
    </row>
    <row r="7" spans="25:78">
      <c r="Y7" s="240"/>
      <c r="Z7" s="240"/>
      <c r="AA7" s="240"/>
      <c r="AB7" s="240"/>
      <c r="AC7" s="151"/>
      <c r="AS7" s="240"/>
      <c r="AT7" s="240"/>
      <c r="AU7" s="240"/>
      <c r="AV7" s="240"/>
      <c r="AW7" s="151"/>
    </row>
    <row r="8" spans="25:78">
      <c r="Y8" s="240"/>
      <c r="Z8" s="240"/>
      <c r="AA8" s="240"/>
      <c r="AB8" s="240"/>
      <c r="AC8" s="151"/>
    </row>
    <row r="9" spans="25:78">
      <c r="Y9" s="240"/>
      <c r="Z9" s="240"/>
      <c r="AA9" s="240"/>
      <c r="AB9" s="240"/>
      <c r="AC9" s="151"/>
      <c r="AT9" s="56"/>
      <c r="AU9" s="93"/>
      <c r="AV9" s="93"/>
      <c r="AW9" s="56"/>
      <c r="AX9" s="56"/>
      <c r="AY9" s="56"/>
      <c r="AZ9" s="56"/>
      <c r="BA9" s="56"/>
    </row>
    <row r="10" spans="25:78">
      <c r="Y10" s="240"/>
      <c r="Z10" s="240"/>
      <c r="AA10" s="240"/>
      <c r="AB10" s="240"/>
      <c r="AC10" s="151"/>
      <c r="AT10" s="56"/>
      <c r="AU10" s="83"/>
      <c r="AV10" s="83"/>
      <c r="AW10" s="240"/>
      <c r="AX10" s="240"/>
      <c r="AY10" s="240"/>
      <c r="AZ10" s="240"/>
      <c r="BA10" s="240"/>
    </row>
    <row r="11" spans="25:78">
      <c r="Y11" s="240"/>
      <c r="Z11" s="240"/>
      <c r="AA11" s="240"/>
      <c r="AB11" s="240"/>
      <c r="AC11" s="151"/>
      <c r="AT11" s="56"/>
      <c r="AU11" s="83"/>
      <c r="AV11" s="83"/>
      <c r="AW11" s="240"/>
      <c r="AX11" s="240"/>
      <c r="AY11" s="240"/>
      <c r="AZ11" s="240"/>
      <c r="BA11" s="56"/>
    </row>
    <row r="12" spans="25:78">
      <c r="Y12" s="240"/>
      <c r="Z12" s="240"/>
      <c r="AA12" s="240"/>
      <c r="AB12" s="240"/>
      <c r="AC12" s="151"/>
      <c r="AT12" s="56"/>
      <c r="AU12" s="83"/>
      <c r="AV12" s="83"/>
      <c r="AW12" s="240"/>
      <c r="AX12" s="240"/>
      <c r="AY12" s="240"/>
      <c r="AZ12" s="240"/>
      <c r="BA12" s="56"/>
    </row>
    <row r="13" spans="25:78">
      <c r="Y13" s="240"/>
      <c r="Z13" s="240"/>
      <c r="AA13" s="240"/>
      <c r="AB13" s="240"/>
      <c r="AC13" s="151"/>
      <c r="AT13" s="56"/>
      <c r="AU13" s="83"/>
      <c r="AV13" s="83"/>
      <c r="AW13" s="240"/>
      <c r="AX13" s="240"/>
      <c r="AY13" s="240"/>
      <c r="AZ13" s="240"/>
      <c r="BA13" s="56"/>
    </row>
    <row r="14" spans="25:78">
      <c r="AT14" s="56"/>
      <c r="AU14" s="83"/>
      <c r="AV14" s="83"/>
      <c r="AW14" s="240"/>
      <c r="AX14" s="240"/>
      <c r="AY14" s="240"/>
      <c r="AZ14" s="240"/>
      <c r="BA14" s="56"/>
    </row>
    <row r="15" spans="25:78">
      <c r="AT15" s="56"/>
      <c r="AU15" s="83"/>
      <c r="AV15" s="83"/>
      <c r="AW15" s="240"/>
      <c r="AX15" s="240"/>
      <c r="AY15" s="240"/>
      <c r="AZ15" s="240"/>
      <c r="BA15" s="56"/>
    </row>
    <row r="16" spans="25:78" ht="15" thickBot="1">
      <c r="AT16" s="56"/>
      <c r="AU16" s="83"/>
      <c r="AV16" s="83"/>
      <c r="AW16" s="240"/>
      <c r="AX16" s="240"/>
      <c r="AY16" s="240"/>
      <c r="AZ16" s="240"/>
      <c r="BA16" s="56"/>
      <c r="BQ16" s="302" t="s">
        <v>67</v>
      </c>
      <c r="BR16" s="303" t="s">
        <v>68</v>
      </c>
      <c r="BS16" s="304" t="s">
        <v>69</v>
      </c>
      <c r="BT16" s="305"/>
      <c r="BU16" s="306"/>
      <c r="BV16" s="307" t="s">
        <v>70</v>
      </c>
      <c r="BZ16" s="36"/>
    </row>
    <row r="17" spans="1:87" ht="15" thickBot="1">
      <c r="AT17" s="56"/>
      <c r="AU17" s="83"/>
      <c r="AV17" s="83"/>
      <c r="AW17" s="240"/>
      <c r="AX17" s="240"/>
      <c r="AY17" s="240"/>
      <c r="AZ17" s="240"/>
      <c r="BA17" s="56"/>
      <c r="BQ17" s="308" t="s">
        <v>71</v>
      </c>
      <c r="BR17" s="309" t="s">
        <v>72</v>
      </c>
      <c r="BS17" s="309" t="s">
        <v>14</v>
      </c>
      <c r="BT17" s="309" t="s">
        <v>4</v>
      </c>
      <c r="BU17" s="309" t="s">
        <v>73</v>
      </c>
      <c r="BV17" s="309" t="s">
        <v>74</v>
      </c>
      <c r="BW17" s="310" t="s">
        <v>158</v>
      </c>
      <c r="BX17" s="311" t="s">
        <v>159</v>
      </c>
      <c r="BY17" s="321" t="s">
        <v>100</v>
      </c>
      <c r="BZ17" s="322" t="s">
        <v>160</v>
      </c>
      <c r="CI17" s="28" t="s">
        <v>162</v>
      </c>
    </row>
    <row r="18" spans="1:87" ht="15" thickBot="1">
      <c r="N18" s="60"/>
      <c r="O18" s="60"/>
      <c r="AT18" s="56"/>
      <c r="AU18" s="83"/>
      <c r="AV18" s="83"/>
      <c r="AW18" s="240"/>
      <c r="AX18" s="240"/>
      <c r="AY18" s="240"/>
      <c r="AZ18" s="240"/>
      <c r="BA18" s="56"/>
      <c r="BQ18" s="312">
        <v>1</v>
      </c>
      <c r="BR18" s="313" t="s">
        <v>76</v>
      </c>
      <c r="BS18" s="314">
        <v>0.75</v>
      </c>
      <c r="BT18" s="314">
        <v>0.25</v>
      </c>
      <c r="BU18" s="314"/>
      <c r="BV18" s="315">
        <v>108.02666666666669</v>
      </c>
      <c r="BW18">
        <v>27.006666666666671</v>
      </c>
      <c r="BX18">
        <v>0.16332043218835673</v>
      </c>
      <c r="BY18" s="316">
        <v>0.65328172875342694</v>
      </c>
      <c r="BZ18" s="319">
        <f t="shared" ref="BZ18:BZ60" si="0">1-BY18</f>
        <v>0.34671827124657306</v>
      </c>
      <c r="CF18" s="16" t="s">
        <v>31</v>
      </c>
      <c r="CG18" s="16" t="s">
        <v>32</v>
      </c>
      <c r="CI18" s="135" t="s">
        <v>161</v>
      </c>
    </row>
    <row r="19" spans="1:87" ht="15" thickBot="1">
      <c r="AT19" s="56"/>
      <c r="AU19" s="83"/>
      <c r="AV19" s="83"/>
      <c r="AW19" s="240"/>
      <c r="AX19" s="240"/>
      <c r="AY19" s="240"/>
      <c r="AZ19" s="240"/>
      <c r="BA19" s="56"/>
      <c r="BQ19" s="312">
        <v>2</v>
      </c>
      <c r="BR19" s="313" t="s">
        <v>17</v>
      </c>
      <c r="BS19" s="314">
        <v>1</v>
      </c>
      <c r="BT19" s="314"/>
      <c r="BU19" s="314"/>
      <c r="BV19" s="315">
        <v>100.85333333333335</v>
      </c>
      <c r="BW19">
        <v>25.213333333333338</v>
      </c>
      <c r="BX19">
        <v>0.15247540719238836</v>
      </c>
      <c r="BY19" s="278">
        <v>0.60990162876955345</v>
      </c>
      <c r="BZ19" s="319">
        <f t="shared" si="0"/>
        <v>0.39009837123044655</v>
      </c>
      <c r="CB19" s="323">
        <v>0.48447478528958382</v>
      </c>
      <c r="CC19" s="323">
        <v>0.19951552521471044</v>
      </c>
      <c r="CD19" s="323">
        <v>0.31490861043822949</v>
      </c>
      <c r="CE19" s="216">
        <v>132.02666666666667</v>
      </c>
      <c r="CF19" s="241">
        <v>0.55856166329815216</v>
      </c>
      <c r="CG19" s="241">
        <v>0.26675413378132928</v>
      </c>
      <c r="CH19" s="333">
        <v>0.79841960974036452</v>
      </c>
      <c r="CI19" s="61">
        <f t="shared" ref="CI19:CI32" si="1">1-CH19</f>
        <v>0.20158039025963548</v>
      </c>
    </row>
    <row r="20" spans="1:87" ht="15" thickBot="1">
      <c r="AT20" s="56"/>
      <c r="AU20" s="83"/>
      <c r="AV20" s="83"/>
      <c r="AW20" s="240"/>
      <c r="AX20" s="240"/>
      <c r="AY20" s="240"/>
      <c r="AZ20" s="240"/>
      <c r="BA20" s="56"/>
      <c r="BQ20" s="312">
        <v>3</v>
      </c>
      <c r="BR20" s="313" t="s">
        <v>4</v>
      </c>
      <c r="BS20" s="314"/>
      <c r="BT20" s="314">
        <v>1</v>
      </c>
      <c r="BU20" s="314"/>
      <c r="BV20" s="315">
        <v>101.89333333333333</v>
      </c>
      <c r="BW20">
        <v>25.473333333333333</v>
      </c>
      <c r="BX20">
        <v>0.15404773423641349</v>
      </c>
      <c r="BY20" s="278">
        <v>0.61619093694565397</v>
      </c>
      <c r="BZ20" s="319">
        <f t="shared" si="0"/>
        <v>0.38380906305434603</v>
      </c>
      <c r="CB20" s="323">
        <v>0.48479506390480392</v>
      </c>
      <c r="CC20" s="323">
        <v>0.16923754958131337</v>
      </c>
      <c r="CD20" s="323">
        <v>0.34596738651388281</v>
      </c>
      <c r="CE20" s="216">
        <v>133.65333333333334</v>
      </c>
      <c r="CF20" s="241">
        <v>0.57763635880680286</v>
      </c>
      <c r="CG20" s="241">
        <v>0.29085126239152748</v>
      </c>
      <c r="CH20" s="334">
        <v>0.80825673278503474</v>
      </c>
      <c r="CI20" s="331">
        <f t="shared" si="1"/>
        <v>0.19174326721496526</v>
      </c>
    </row>
    <row r="21" spans="1:87" ht="15" thickBot="1">
      <c r="AT21" s="56"/>
      <c r="AU21" s="83"/>
      <c r="AV21" s="83"/>
      <c r="AW21" s="240"/>
      <c r="AX21" s="240"/>
      <c r="AY21" s="240"/>
      <c r="AZ21" s="240"/>
      <c r="BA21" s="56"/>
      <c r="BQ21" s="312">
        <v>4</v>
      </c>
      <c r="BR21" s="313" t="s">
        <v>18</v>
      </c>
      <c r="BS21" s="314"/>
      <c r="BT21" s="314"/>
      <c r="BU21" s="314">
        <v>1</v>
      </c>
      <c r="BV21" s="315">
        <v>111.76</v>
      </c>
      <c r="BW21">
        <v>27.94</v>
      </c>
      <c r="BX21">
        <v>0.16896468311562654</v>
      </c>
      <c r="BY21" s="278">
        <v>0.67585873246250616</v>
      </c>
      <c r="BZ21" s="319">
        <f t="shared" si="0"/>
        <v>0.32414126753749384</v>
      </c>
      <c r="CB21" s="324">
        <v>0.45372050816696918</v>
      </c>
      <c r="CC21" s="324">
        <v>0.19918330308529944</v>
      </c>
      <c r="CD21" s="324">
        <v>0.3470961887477314</v>
      </c>
      <c r="CE21" s="219">
        <v>131.49333333333334</v>
      </c>
      <c r="CF21" s="241">
        <v>0.54342120395432714</v>
      </c>
      <c r="CG21" s="241">
        <v>0.29428456752433269</v>
      </c>
      <c r="CH21" s="334">
        <v>0.79519432349621033</v>
      </c>
      <c r="CI21" s="331">
        <f t="shared" si="1"/>
        <v>0.20480567650378967</v>
      </c>
    </row>
    <row r="22" spans="1:87">
      <c r="AT22" s="56"/>
      <c r="AU22" s="83"/>
      <c r="AV22" s="83"/>
      <c r="AW22" s="240"/>
      <c r="AX22" s="240"/>
      <c r="AY22" s="240"/>
      <c r="AZ22" s="240"/>
      <c r="BA22" s="56"/>
      <c r="BQ22" s="312">
        <v>5</v>
      </c>
      <c r="BR22" s="313" t="s">
        <v>76</v>
      </c>
      <c r="BS22" s="314">
        <v>0.73529411764705888</v>
      </c>
      <c r="BT22" s="314">
        <v>0.26470588235294112</v>
      </c>
      <c r="BU22" s="314"/>
      <c r="BV22" s="315">
        <v>107.2</v>
      </c>
      <c r="BW22">
        <v>26.8</v>
      </c>
      <c r="BX22">
        <v>0.162070633768747</v>
      </c>
      <c r="BY22" s="316">
        <v>0.64828253507498801</v>
      </c>
      <c r="BZ22" s="319">
        <f t="shared" si="0"/>
        <v>0.35171746492501199</v>
      </c>
      <c r="CB22" s="325">
        <v>0.45392646391284608</v>
      </c>
      <c r="CC22" s="325">
        <v>0.1693145710394916</v>
      </c>
      <c r="CD22" s="325">
        <v>0.37675896504766226</v>
      </c>
      <c r="CE22" s="225">
        <v>131.09333333333333</v>
      </c>
      <c r="CF22" s="241">
        <v>0.56253188891860884</v>
      </c>
      <c r="CG22" s="241">
        <v>0.31721412851042335</v>
      </c>
      <c r="CH22" s="334">
        <v>0.79277535881309469</v>
      </c>
      <c r="CI22" s="331">
        <f t="shared" si="1"/>
        <v>0.20722464118690531</v>
      </c>
    </row>
    <row r="23" spans="1:87">
      <c r="AT23" s="56"/>
      <c r="AU23" s="83"/>
      <c r="AV23" s="83"/>
      <c r="AW23" s="240"/>
      <c r="AX23" s="240"/>
      <c r="AY23" s="240"/>
      <c r="AZ23" s="240"/>
      <c r="BA23" s="56"/>
      <c r="BQ23" s="312">
        <v>6</v>
      </c>
      <c r="BR23" s="313" t="s">
        <v>76</v>
      </c>
      <c r="BS23" s="314">
        <v>0.65789473684210531</v>
      </c>
      <c r="BT23" s="314">
        <v>0.34210526315789475</v>
      </c>
      <c r="BU23" s="314"/>
      <c r="BV23" s="315">
        <v>106.38666666666667</v>
      </c>
      <c r="BW23">
        <v>26.596666666666668</v>
      </c>
      <c r="BX23">
        <v>0.16084099338816324</v>
      </c>
      <c r="BY23" s="316">
        <v>0.64336397355265296</v>
      </c>
      <c r="BZ23" s="319">
        <f t="shared" si="0"/>
        <v>0.35663602644734704</v>
      </c>
      <c r="CB23" s="323">
        <v>0.42390843577787196</v>
      </c>
      <c r="CC23" s="323">
        <v>0.19923696481559983</v>
      </c>
      <c r="CD23" s="323">
        <v>0.37685459940652821</v>
      </c>
      <c r="CE23" s="216">
        <v>130.16</v>
      </c>
      <c r="CF23" s="241">
        <v>0.52746843688890843</v>
      </c>
      <c r="CG23" s="241">
        <v>0.31976115336472843</v>
      </c>
      <c r="CH23" s="334">
        <v>0.81438477664892772</v>
      </c>
      <c r="CI23" s="331">
        <f t="shared" si="1"/>
        <v>0.18561522335107228</v>
      </c>
    </row>
    <row r="24" spans="1:87">
      <c r="AB24" s="173" t="e">
        <f>#REF!</f>
        <v>#REF!</v>
      </c>
      <c r="AD24" s="89" t="s">
        <v>42</v>
      </c>
      <c r="AE24" s="16" t="s">
        <v>28</v>
      </c>
      <c r="AF24" s="12"/>
      <c r="AH24" s="10" t="s">
        <v>20</v>
      </c>
      <c r="AI24" s="34" t="s">
        <v>33</v>
      </c>
      <c r="AJ24" s="34" t="s">
        <v>34</v>
      </c>
      <c r="AL24" s="227">
        <v>0.61085972850678727</v>
      </c>
      <c r="AM24" s="227">
        <v>0</v>
      </c>
      <c r="AN24" s="227">
        <v>0.38914027149321262</v>
      </c>
      <c r="AP24" s="227">
        <v>133.14666666666668</v>
      </c>
      <c r="AR24" s="141">
        <v>0.34238319373504122</v>
      </c>
      <c r="AT24" s="56"/>
      <c r="AU24" s="249"/>
      <c r="AV24" s="249"/>
      <c r="AW24" s="240"/>
      <c r="AX24" s="240"/>
      <c r="AY24" s="240"/>
      <c r="AZ24" s="240"/>
      <c r="BA24" s="151"/>
      <c r="BQ24" s="312">
        <v>7</v>
      </c>
      <c r="BR24" s="313" t="s">
        <v>76</v>
      </c>
      <c r="BS24" s="314">
        <v>0.80645161290322587</v>
      </c>
      <c r="BT24" s="314">
        <v>0.19354838709677419</v>
      </c>
      <c r="BU24" s="314"/>
      <c r="BV24" s="315">
        <v>105.45333333333333</v>
      </c>
      <c r="BW24">
        <v>26.363333333333333</v>
      </c>
      <c r="BX24">
        <v>0.15942993065634578</v>
      </c>
      <c r="BY24" s="316">
        <v>0.63771972262538312</v>
      </c>
      <c r="BZ24" s="319">
        <f t="shared" si="0"/>
        <v>0.36228027737461688</v>
      </c>
      <c r="CB24" s="323">
        <v>0.4533091568449682</v>
      </c>
      <c r="CC24" s="323">
        <v>0.13871260199456029</v>
      </c>
      <c r="CD24" s="323">
        <v>0.40797824116047138</v>
      </c>
      <c r="CE24" s="216">
        <v>132.48000000000002</v>
      </c>
      <c r="CF24" s="241">
        <v>0.58313792558127309</v>
      </c>
      <c r="CG24" s="241">
        <v>0.34141559127621851</v>
      </c>
      <c r="CH24" s="334">
        <v>0.80116110304789567</v>
      </c>
      <c r="CI24" s="331">
        <f t="shared" si="1"/>
        <v>0.19883889695210433</v>
      </c>
    </row>
    <row r="25" spans="1:87">
      <c r="J25" s="89" t="s">
        <v>42</v>
      </c>
      <c r="K25" s="16" t="s">
        <v>28</v>
      </c>
      <c r="L25" s="12"/>
      <c r="M25" s="10" t="s">
        <v>20</v>
      </c>
      <c r="N25" s="34" t="s">
        <v>33</v>
      </c>
      <c r="O25" s="34" t="s">
        <v>34</v>
      </c>
      <c r="Q25" s="216">
        <v>0.48447478528958382</v>
      </c>
      <c r="R25" s="216">
        <v>0.19951552521471044</v>
      </c>
      <c r="S25" s="216">
        <v>0.31490861043822949</v>
      </c>
      <c r="U25" s="216">
        <v>132.02666666666667</v>
      </c>
      <c r="AD25" s="16" t="s">
        <v>31</v>
      </c>
      <c r="AE25" s="143">
        <v>0.75295277138654582</v>
      </c>
      <c r="AF25" s="12"/>
      <c r="AH25" s="16">
        <v>2</v>
      </c>
      <c r="AI25" s="137">
        <v>470</v>
      </c>
      <c r="AJ25" s="138">
        <v>0</v>
      </c>
      <c r="AT25" s="56"/>
      <c r="AU25" s="249"/>
      <c r="AV25" s="249"/>
      <c r="AW25" s="240"/>
      <c r="AX25" s="240"/>
      <c r="AY25" s="240"/>
      <c r="AZ25" s="240"/>
      <c r="BA25" s="151"/>
      <c r="BQ25" s="312">
        <v>8</v>
      </c>
      <c r="BR25" s="313" t="s">
        <v>76</v>
      </c>
      <c r="BS25" s="314">
        <v>0.87719298245614041</v>
      </c>
      <c r="BT25" s="314">
        <v>0.12280701754385967</v>
      </c>
      <c r="BU25" s="314"/>
      <c r="BV25" s="315">
        <v>104.04</v>
      </c>
      <c r="BW25">
        <v>26.01</v>
      </c>
      <c r="BX25">
        <v>0.15729317851959365</v>
      </c>
      <c r="BY25" s="316">
        <v>0.62917271407837461</v>
      </c>
      <c r="BZ25" s="319">
        <f t="shared" si="0"/>
        <v>0.37082728592162539</v>
      </c>
      <c r="CB25" s="323">
        <v>0.42390843577787196</v>
      </c>
      <c r="CC25" s="323">
        <v>0.16913946587537093</v>
      </c>
      <c r="CD25" s="323">
        <v>0.40695209834675711</v>
      </c>
      <c r="CE25" s="216">
        <v>135.62666666666669</v>
      </c>
      <c r="CF25" s="241">
        <v>0.54680540434311609</v>
      </c>
      <c r="CG25" s="241">
        <v>0.34304397478921717</v>
      </c>
      <c r="CH25" s="334">
        <v>0.82019029188840531</v>
      </c>
      <c r="CI25" s="331">
        <f t="shared" si="1"/>
        <v>0.17980970811159469</v>
      </c>
    </row>
    <row r="26" spans="1:87" ht="15" thickBot="1">
      <c r="J26" s="16" t="s">
        <v>31</v>
      </c>
      <c r="K26" s="143">
        <v>0.55856166329815216</v>
      </c>
      <c r="L26" s="12"/>
      <c r="M26" s="16"/>
      <c r="N26" s="137">
        <v>470</v>
      </c>
      <c r="O26" s="138">
        <v>0</v>
      </c>
      <c r="AD26" s="16" t="s">
        <v>32</v>
      </c>
      <c r="AE26" s="143">
        <v>0.31386306587748147</v>
      </c>
      <c r="AF26" s="12"/>
      <c r="AT26" s="56"/>
      <c r="AU26" s="56"/>
      <c r="AV26" s="56"/>
      <c r="AW26" s="56"/>
      <c r="AX26" s="56"/>
      <c r="AY26" s="56"/>
      <c r="AZ26" s="56"/>
      <c r="BA26" s="56"/>
      <c r="BQ26" s="312">
        <v>9</v>
      </c>
      <c r="BR26" s="313" t="s">
        <v>76</v>
      </c>
      <c r="BS26" s="314">
        <v>0.75187969924812026</v>
      </c>
      <c r="BT26" s="314">
        <v>0.24812030075187969</v>
      </c>
      <c r="BU26" s="314"/>
      <c r="BV26" s="315">
        <v>108.66666666666667</v>
      </c>
      <c r="BW26">
        <v>27.166666666666668</v>
      </c>
      <c r="BX26">
        <v>0.16428801806160298</v>
      </c>
      <c r="BY26" s="316">
        <v>0.65715207224641192</v>
      </c>
      <c r="BZ26" s="319">
        <f t="shared" si="0"/>
        <v>0.34284792775358808</v>
      </c>
      <c r="CB26" s="323">
        <v>0.42337002540220159</v>
      </c>
      <c r="CC26" s="323">
        <v>0.1384419983065199</v>
      </c>
      <c r="CD26" s="323">
        <v>0.43818797629127859</v>
      </c>
      <c r="CE26" s="216">
        <v>134.69333333333336</v>
      </c>
      <c r="CF26" s="241">
        <v>0.5677676230218065</v>
      </c>
      <c r="CG26" s="241">
        <v>0.36725178047191565</v>
      </c>
      <c r="CH26" s="334">
        <v>0.81454604096113548</v>
      </c>
      <c r="CI26" s="331">
        <f t="shared" si="1"/>
        <v>0.18545395903886452</v>
      </c>
    </row>
    <row r="27" spans="1:87" ht="15" thickBot="1">
      <c r="J27" s="16" t="s">
        <v>32</v>
      </c>
      <c r="K27" s="143">
        <v>0.26675413378132928</v>
      </c>
      <c r="L27" s="12"/>
      <c r="AT27" s="56"/>
      <c r="AY27" s="12" t="s">
        <v>79</v>
      </c>
      <c r="AZ27" t="s">
        <v>80</v>
      </c>
      <c r="BA27" s="16" t="s">
        <v>31</v>
      </c>
      <c r="BB27" s="16" t="s">
        <v>32</v>
      </c>
      <c r="BC27" s="58" t="s">
        <v>81</v>
      </c>
      <c r="BQ27" s="312">
        <v>10</v>
      </c>
      <c r="BR27" s="313" t="s">
        <v>76</v>
      </c>
      <c r="BS27" s="314">
        <v>0.7246376811594204</v>
      </c>
      <c r="BT27" s="314">
        <v>0.27536231884057971</v>
      </c>
      <c r="BU27" s="314"/>
      <c r="BV27" s="315">
        <v>109.06666666666668</v>
      </c>
      <c r="BW27">
        <v>27.266666666666669</v>
      </c>
      <c r="BX27">
        <v>0.16489275923238192</v>
      </c>
      <c r="BY27" s="316">
        <v>0.65957103692952768</v>
      </c>
      <c r="BZ27" s="319">
        <f t="shared" si="0"/>
        <v>0.34042896307047232</v>
      </c>
      <c r="CB27" s="326">
        <v>0.48447478528958382</v>
      </c>
      <c r="CC27" s="326">
        <v>0.13895617705351243</v>
      </c>
      <c r="CD27" s="326">
        <v>0.3765690376569038</v>
      </c>
      <c r="CE27" s="222">
        <v>136.08000000000001</v>
      </c>
      <c r="CF27" s="241">
        <v>0.5978902457411267</v>
      </c>
      <c r="CG27" s="241">
        <v>0.3145504720942503</v>
      </c>
      <c r="CH27" s="334">
        <v>0.82293178519593624</v>
      </c>
      <c r="CI27" s="331">
        <f t="shared" si="1"/>
        <v>0.17706821480406376</v>
      </c>
    </row>
    <row r="28" spans="1:87">
      <c r="AT28" s="248">
        <v>134.66666666666669</v>
      </c>
      <c r="AU28" s="216">
        <v>0.42390843577787196</v>
      </c>
      <c r="AV28" s="216">
        <v>0.19923696481559983</v>
      </c>
      <c r="AW28" s="216">
        <v>0.37685459940652821</v>
      </c>
      <c r="AX28" s="216">
        <v>130.16</v>
      </c>
      <c r="AY28" s="140">
        <v>0.34720003867538729</v>
      </c>
      <c r="AZ28" s="243">
        <f t="shared" ref="AZ28:AZ41" si="2">1-AY28</f>
        <v>0.65279996132461271</v>
      </c>
      <c r="BA28" s="241">
        <v>0.52746843688890843</v>
      </c>
      <c r="BB28" s="241">
        <v>0.31976115336472843</v>
      </c>
      <c r="BC28" s="246">
        <f t="shared" ref="BC28:BC36" si="3">BA28*AZ28</f>
        <v>0.34433137520103335</v>
      </c>
      <c r="BQ28" s="312">
        <v>11</v>
      </c>
      <c r="BR28" s="313" t="s">
        <v>76</v>
      </c>
      <c r="BS28" s="314">
        <v>0.69930069930069938</v>
      </c>
      <c r="BT28" s="314">
        <v>0.30069930069930073</v>
      </c>
      <c r="BU28" s="314"/>
      <c r="BV28" s="315">
        <v>108.96</v>
      </c>
      <c r="BW28">
        <v>27.24</v>
      </c>
      <c r="BX28">
        <v>0.16473149492017417</v>
      </c>
      <c r="BY28" s="316">
        <v>0.65892597968069666</v>
      </c>
      <c r="BZ28" s="319">
        <f t="shared" si="0"/>
        <v>0.34107402031930334</v>
      </c>
      <c r="CB28" s="327">
        <v>0.61085972850678727</v>
      </c>
      <c r="CC28" s="327">
        <v>0</v>
      </c>
      <c r="CD28" s="327">
        <v>0.38914027149321262</v>
      </c>
      <c r="CE28" s="227">
        <v>133.14666666666668</v>
      </c>
      <c r="CF28" s="242">
        <v>0.75295277138654582</v>
      </c>
      <c r="CG28" s="242">
        <v>0.31386306587748147</v>
      </c>
      <c r="CH28" s="334">
        <v>0.80164489598451849</v>
      </c>
      <c r="CI28" s="331">
        <f t="shared" si="1"/>
        <v>0.19835510401548151</v>
      </c>
    </row>
    <row r="29" spans="1:87" ht="15" thickBot="1">
      <c r="AT29" s="174"/>
      <c r="AU29" s="216">
        <v>0.45372050816696918</v>
      </c>
      <c r="AV29" s="216">
        <v>0.19918330308529944</v>
      </c>
      <c r="AW29" s="216">
        <v>0.3470961887477314</v>
      </c>
      <c r="AX29" s="216">
        <v>131.49333333333334</v>
      </c>
      <c r="AY29" s="140">
        <v>0.32189526844113597</v>
      </c>
      <c r="AZ29" s="243">
        <f t="shared" si="2"/>
        <v>0.67810473155886397</v>
      </c>
      <c r="BA29" s="241">
        <v>0.54342120395432714</v>
      </c>
      <c r="BB29" s="241">
        <v>0.29428456752433269</v>
      </c>
      <c r="BC29" s="246">
        <f t="shared" si="3"/>
        <v>0.36849648963084369</v>
      </c>
      <c r="BQ29" s="312">
        <v>12</v>
      </c>
      <c r="BR29" s="313" t="s">
        <v>76</v>
      </c>
      <c r="BS29" s="314">
        <v>0.67567567567567566</v>
      </c>
      <c r="BT29" s="314">
        <v>0.32432432432432434</v>
      </c>
      <c r="BU29" s="314"/>
      <c r="BV29" s="315">
        <v>110.45333333333333</v>
      </c>
      <c r="BW29">
        <v>27.613333333333333</v>
      </c>
      <c r="BX29">
        <v>0.16698919529108208</v>
      </c>
      <c r="BY29" s="316">
        <v>0.66795678116432833</v>
      </c>
      <c r="BZ29" s="319">
        <f t="shared" si="0"/>
        <v>0.33204321883567167</v>
      </c>
      <c r="CB29" s="328">
        <v>0.59734513274336276</v>
      </c>
      <c r="CC29" s="328">
        <v>0</v>
      </c>
      <c r="CD29" s="328">
        <v>0.40265486725663713</v>
      </c>
      <c r="CE29" s="230">
        <v>133.81333333333333</v>
      </c>
      <c r="CF29" s="242">
        <v>0.74938810217856811</v>
      </c>
      <c r="CG29" s="242">
        <v>0.32543108998437797</v>
      </c>
      <c r="CH29" s="334">
        <v>0.80922431865828093</v>
      </c>
      <c r="CI29" s="331">
        <f t="shared" si="1"/>
        <v>0.19077568134171907</v>
      </c>
    </row>
    <row r="30" spans="1:87" ht="15" thickBot="1">
      <c r="AT30" s="56"/>
      <c r="AU30" s="219">
        <v>0.42390843577787196</v>
      </c>
      <c r="AV30" s="219">
        <v>0.16913946587537093</v>
      </c>
      <c r="AW30" s="219">
        <v>0.40695209834675711</v>
      </c>
      <c r="AX30" s="219">
        <v>135.62666666666669</v>
      </c>
      <c r="AY30" s="140">
        <v>0.37048319634007487</v>
      </c>
      <c r="AZ30" s="243">
        <f t="shared" si="2"/>
        <v>0.62951680365992513</v>
      </c>
      <c r="BA30" s="241">
        <v>0.54680540434311609</v>
      </c>
      <c r="BB30" s="241">
        <v>0.34304397478921717</v>
      </c>
      <c r="BC30" s="246">
        <f t="shared" si="3"/>
        <v>0.34422319036605137</v>
      </c>
      <c r="BD30" s="56"/>
      <c r="BE30" s="56"/>
      <c r="BF30" s="56"/>
      <c r="BG30" s="56"/>
      <c r="BH30" s="56"/>
      <c r="BI30" s="56"/>
      <c r="BJ30" s="56"/>
      <c r="BK30" s="56"/>
      <c r="BQ30" s="312">
        <v>13</v>
      </c>
      <c r="BR30" s="313" t="s">
        <v>76</v>
      </c>
      <c r="BS30" s="314">
        <v>0.65359477124183007</v>
      </c>
      <c r="BT30" s="314">
        <v>0.34640522875816993</v>
      </c>
      <c r="BU30" s="314"/>
      <c r="BV30" s="315">
        <v>110.53333333333335</v>
      </c>
      <c r="BW30">
        <v>27.633333333333336</v>
      </c>
      <c r="BX30">
        <v>0.16711014352523787</v>
      </c>
      <c r="BY30" s="316">
        <v>0.66844057410095148</v>
      </c>
      <c r="BZ30" s="319">
        <f t="shared" si="0"/>
        <v>0.33155942589904852</v>
      </c>
      <c r="CB30" s="329">
        <v>0.5818965517241379</v>
      </c>
      <c r="CC30" s="329">
        <v>0</v>
      </c>
      <c r="CD30" s="329">
        <v>0.41810344827586204</v>
      </c>
      <c r="CE30" s="234">
        <v>136.66666666666666</v>
      </c>
      <c r="CF30" s="242">
        <v>0.74515480021471081</v>
      </c>
      <c r="CG30" s="242">
        <v>0.33865453823070957</v>
      </c>
      <c r="CH30" s="334">
        <v>0.82647960006450572</v>
      </c>
      <c r="CI30" s="331">
        <f t="shared" si="1"/>
        <v>0.17352039993549428</v>
      </c>
    </row>
    <row r="31" spans="1:87">
      <c r="E31" t="s">
        <v>79</v>
      </c>
      <c r="F31" t="s">
        <v>80</v>
      </c>
      <c r="G31" s="16" t="s">
        <v>31</v>
      </c>
      <c r="H31" s="16" t="s">
        <v>32</v>
      </c>
      <c r="I31" s="36" t="s">
        <v>81</v>
      </c>
      <c r="AT31" s="56"/>
      <c r="AU31" s="225">
        <v>0.48447478528958382</v>
      </c>
      <c r="AV31" s="225">
        <v>0.19951552521471044</v>
      </c>
      <c r="AW31" s="225">
        <v>0.31490861043822949</v>
      </c>
      <c r="AX31" s="225">
        <v>132.02666666666667</v>
      </c>
      <c r="AY31" s="140">
        <v>0.29454643422405358</v>
      </c>
      <c r="AZ31" s="243">
        <f t="shared" si="2"/>
        <v>0.70545356577594642</v>
      </c>
      <c r="BA31" s="241">
        <v>0.55856166329815216</v>
      </c>
      <c r="BB31" s="241">
        <v>0.26675413378132928</v>
      </c>
      <c r="BC31" s="246">
        <f t="shared" si="3"/>
        <v>0.39403931707942502</v>
      </c>
      <c r="BD31" s="56"/>
      <c r="BE31" s="56"/>
      <c r="BF31" s="56"/>
      <c r="BG31" s="56"/>
      <c r="BH31" s="56"/>
      <c r="BI31" s="56"/>
      <c r="BJ31" s="56"/>
      <c r="BK31" s="56"/>
      <c r="BQ31" s="312">
        <v>14</v>
      </c>
      <c r="BR31" s="313" t="s">
        <v>76</v>
      </c>
      <c r="BS31" s="314">
        <v>0.75187969924812026</v>
      </c>
      <c r="BT31" s="314">
        <v>0.24812030075187969</v>
      </c>
      <c r="BU31" s="314"/>
      <c r="BV31" s="315">
        <v>108.58666666666666</v>
      </c>
      <c r="BW31">
        <v>27.146666666666665</v>
      </c>
      <c r="BX31">
        <v>0.16416706982744719</v>
      </c>
      <c r="BY31" s="316">
        <v>0.65666827930978877</v>
      </c>
      <c r="BZ31" s="319">
        <f t="shared" si="0"/>
        <v>0.34333172069021123</v>
      </c>
      <c r="CB31" s="330">
        <v>0.56657223796033995</v>
      </c>
      <c r="CC31" s="330">
        <v>0</v>
      </c>
      <c r="CD31" s="330">
        <v>0.43342776203966005</v>
      </c>
      <c r="CE31" s="237">
        <v>135.22666666666669</v>
      </c>
      <c r="CF31" s="242">
        <v>0.74077833774877022</v>
      </c>
      <c r="CG31" s="242">
        <v>0.35177161802683821</v>
      </c>
      <c r="CH31" s="334">
        <v>0.81777132720528967</v>
      </c>
      <c r="CI31" s="331">
        <f t="shared" si="1"/>
        <v>0.18222867279471033</v>
      </c>
    </row>
    <row r="32" spans="1:87">
      <c r="A32" s="216">
        <v>0.48447478528958382</v>
      </c>
      <c r="B32" s="216">
        <v>0.19951552521471044</v>
      </c>
      <c r="C32" s="216">
        <v>0.31490861043822949</v>
      </c>
      <c r="D32" s="216">
        <v>132.02666666666667</v>
      </c>
      <c r="E32" s="263">
        <v>0.29175413378132931</v>
      </c>
      <c r="F32" s="259">
        <f>1-E32</f>
        <v>0.70824586621867069</v>
      </c>
      <c r="G32" s="241">
        <v>0.55856166329815216</v>
      </c>
      <c r="H32" s="241">
        <v>0.26675413378132928</v>
      </c>
      <c r="I32" s="263">
        <v>0.39342187163083964</v>
      </c>
      <c r="AT32" s="253"/>
      <c r="AU32" s="216">
        <v>0.45392646391284608</v>
      </c>
      <c r="AV32" s="216">
        <v>0.1693145710394916</v>
      </c>
      <c r="AW32" s="216">
        <v>0.37675896504766226</v>
      </c>
      <c r="AX32" s="216">
        <v>131.09333333333333</v>
      </c>
      <c r="AY32" s="140">
        <v>0.34482637033034785</v>
      </c>
      <c r="AZ32" s="243">
        <f t="shared" si="2"/>
        <v>0.6551736296696522</v>
      </c>
      <c r="BA32" s="241">
        <v>0.56253188891860884</v>
      </c>
      <c r="BB32" s="241">
        <v>0.31721412851042335</v>
      </c>
      <c r="BC32" s="246">
        <f t="shared" si="3"/>
        <v>0.36855605946773057</v>
      </c>
      <c r="BD32" s="56"/>
      <c r="BE32" s="56"/>
      <c r="BF32" s="56"/>
      <c r="BG32" s="56"/>
      <c r="BH32" s="56"/>
      <c r="BI32" s="56"/>
      <c r="BJ32" s="56"/>
      <c r="BK32" s="56"/>
      <c r="BQ32" s="312">
        <v>15</v>
      </c>
      <c r="BR32" s="313" t="s">
        <v>76</v>
      </c>
      <c r="BS32" s="314">
        <v>0.7246376811594204</v>
      </c>
      <c r="BT32" s="314">
        <v>0.27536231884057971</v>
      </c>
      <c r="BU32" s="314"/>
      <c r="BV32" s="315">
        <v>112.05333333333334</v>
      </c>
      <c r="BW32">
        <v>28.013333333333335</v>
      </c>
      <c r="BX32">
        <v>0.16940815997419773</v>
      </c>
      <c r="BY32" s="316">
        <v>0.6776326398967909</v>
      </c>
      <c r="BZ32" s="319">
        <f t="shared" si="0"/>
        <v>0.3223673601032091</v>
      </c>
      <c r="CB32" s="327">
        <v>0.5524861878453039</v>
      </c>
      <c r="CC32" s="327">
        <v>0</v>
      </c>
      <c r="CD32" s="327">
        <v>0.44751381215469616</v>
      </c>
      <c r="CE32" s="227">
        <v>135.76000000000002</v>
      </c>
      <c r="CF32" s="242">
        <v>0.73659006348867362</v>
      </c>
      <c r="CG32" s="242">
        <v>0.36382878719076445</v>
      </c>
      <c r="CH32" s="335">
        <v>0.82099661344944386</v>
      </c>
      <c r="CI32" s="332">
        <f t="shared" si="1"/>
        <v>0.17900338655055614</v>
      </c>
    </row>
    <row r="33" spans="1:86">
      <c r="A33" s="216">
        <v>0.48479506390480392</v>
      </c>
      <c r="B33" s="216">
        <v>0.16923754958131337</v>
      </c>
      <c r="C33" s="216">
        <v>0.34596738651388281</v>
      </c>
      <c r="D33" s="216">
        <v>133.65333333333334</v>
      </c>
      <c r="E33" s="140">
        <v>0.3158512623915275</v>
      </c>
      <c r="F33" s="260">
        <f t="shared" ref="F33:F45" si="4">1-E33</f>
        <v>0.6841487376084725</v>
      </c>
      <c r="G33" s="241">
        <v>0.57763635880680286</v>
      </c>
      <c r="H33" s="241">
        <v>0.29085126239152748</v>
      </c>
      <c r="I33" s="140">
        <v>0.39357267576256394</v>
      </c>
      <c r="AU33" s="216">
        <v>0.42337002540220159</v>
      </c>
      <c r="AV33" s="216">
        <v>0.1384419983065199</v>
      </c>
      <c r="AW33" s="216">
        <v>0.43818797629127859</v>
      </c>
      <c r="AX33" s="216">
        <v>134.69333333333336</v>
      </c>
      <c r="AY33" s="140">
        <v>0.39468826798077178</v>
      </c>
      <c r="AZ33" s="243">
        <f t="shared" si="2"/>
        <v>0.60531173201922828</v>
      </c>
      <c r="BA33" s="241">
        <v>0.5677676230218065</v>
      </c>
      <c r="BB33" s="241">
        <v>0.36725178047191565</v>
      </c>
      <c r="BC33" s="246">
        <f t="shared" si="3"/>
        <v>0.34367640327576998</v>
      </c>
      <c r="BD33" s="56"/>
      <c r="BE33" s="56"/>
      <c r="BF33" s="56"/>
      <c r="BG33" s="56"/>
      <c r="BH33" s="56"/>
      <c r="BI33" s="56"/>
      <c r="BJ33" s="56"/>
      <c r="BK33" s="56"/>
      <c r="BQ33" s="312">
        <v>16</v>
      </c>
      <c r="BR33" s="313" t="s">
        <v>76</v>
      </c>
      <c r="BS33" s="314">
        <v>0.69930069930069938</v>
      </c>
      <c r="BT33" s="314">
        <v>0.30069930069930073</v>
      </c>
      <c r="BU33" s="314"/>
      <c r="BV33" s="315">
        <v>110.69333333333334</v>
      </c>
      <c r="BW33">
        <v>27.673333333333336</v>
      </c>
      <c r="BX33">
        <v>0.16735203999354945</v>
      </c>
      <c r="BY33" s="316">
        <v>0.66940815997419778</v>
      </c>
      <c r="BZ33" s="319">
        <f t="shared" si="0"/>
        <v>0.33059184002580222</v>
      </c>
    </row>
    <row r="34" spans="1:86">
      <c r="A34" s="219">
        <v>0.45372050816696918</v>
      </c>
      <c r="B34" s="219">
        <v>0.19918330308529944</v>
      </c>
      <c r="C34" s="219">
        <v>0.3470961887477314</v>
      </c>
      <c r="D34" s="219">
        <v>131.49333333333334</v>
      </c>
      <c r="E34" s="140">
        <v>0.32189526844113597</v>
      </c>
      <c r="F34" s="260">
        <f t="shared" si="4"/>
        <v>0.67810473155886397</v>
      </c>
      <c r="G34" s="241">
        <v>0.54342120395432714</v>
      </c>
      <c r="H34" s="241">
        <v>0.29428456752433269</v>
      </c>
      <c r="I34" s="140">
        <f t="shared" ref="I34:I40" si="5">G34*F34</f>
        <v>0.36849648963084369</v>
      </c>
      <c r="AT34" s="174"/>
      <c r="AU34" s="216">
        <v>0.48479506390480392</v>
      </c>
      <c r="AV34" s="216">
        <v>0.16923754958131337</v>
      </c>
      <c r="AW34" s="216">
        <v>0.34596738651388281</v>
      </c>
      <c r="AX34" s="216">
        <v>133.65333333333334</v>
      </c>
      <c r="AY34" s="140">
        <v>0.31864144623286517</v>
      </c>
      <c r="AZ34" s="243">
        <f t="shared" si="2"/>
        <v>0.68135855376713483</v>
      </c>
      <c r="BA34" s="241">
        <v>0.57763635880680286</v>
      </c>
      <c r="BB34" s="241">
        <v>0.29085126239152748</v>
      </c>
      <c r="BC34" s="246">
        <f t="shared" si="3"/>
        <v>0.393577474039917</v>
      </c>
      <c r="BD34" s="56"/>
      <c r="BE34" s="56"/>
      <c r="BF34" s="56"/>
      <c r="BG34" s="56"/>
      <c r="BH34" s="56"/>
      <c r="BI34" s="56"/>
      <c r="BJ34" s="56"/>
      <c r="BK34" s="56"/>
      <c r="BQ34" s="312">
        <v>17</v>
      </c>
      <c r="BR34" s="313" t="s">
        <v>76</v>
      </c>
      <c r="BS34" s="314">
        <v>0.67567567567567566</v>
      </c>
      <c r="BT34" s="314">
        <v>0.32432432432432434</v>
      </c>
      <c r="BU34" s="314"/>
      <c r="BV34" s="315">
        <v>112.08</v>
      </c>
      <c r="BW34">
        <v>28.02</v>
      </c>
      <c r="BX34">
        <v>0.16944847605224964</v>
      </c>
      <c r="BY34" s="316">
        <v>0.67779390420899854</v>
      </c>
      <c r="BZ34" s="319">
        <f t="shared" si="0"/>
        <v>0.32220609579100146</v>
      </c>
      <c r="CE34" s="56"/>
      <c r="CF34" s="56"/>
      <c r="CG34" s="56"/>
      <c r="CH34" s="56"/>
    </row>
    <row r="35" spans="1:86" ht="15" thickBot="1">
      <c r="A35" s="225">
        <v>0.45392646391284608</v>
      </c>
      <c r="B35" s="225">
        <v>0.1693145710394916</v>
      </c>
      <c r="C35" s="225">
        <v>0.37675896504766226</v>
      </c>
      <c r="D35" s="225">
        <v>131.09333333333333</v>
      </c>
      <c r="E35" s="140">
        <v>0.34482637033034785</v>
      </c>
      <c r="F35" s="260">
        <f t="shared" si="4"/>
        <v>0.6551736296696522</v>
      </c>
      <c r="G35" s="241">
        <v>0.56253188891860884</v>
      </c>
      <c r="H35" s="241">
        <v>0.31721412851042335</v>
      </c>
      <c r="I35" s="140">
        <f t="shared" si="5"/>
        <v>0.36855605946773057</v>
      </c>
      <c r="AT35" s="174"/>
      <c r="AU35" s="216">
        <v>0.4533091568449682</v>
      </c>
      <c r="AV35" s="216">
        <v>0.13871260199456029</v>
      </c>
      <c r="AW35" s="216">
        <v>0.40797824116047138</v>
      </c>
      <c r="AX35" s="216">
        <v>132.48000000000002</v>
      </c>
      <c r="AY35" s="140">
        <v>0.36902466379497156</v>
      </c>
      <c r="AZ35" s="243">
        <f t="shared" si="2"/>
        <v>0.63097533620502844</v>
      </c>
      <c r="BA35" s="241">
        <v>0.58313792558127309</v>
      </c>
      <c r="BB35" s="241">
        <v>0.34141559127621851</v>
      </c>
      <c r="BC35" s="246">
        <f t="shared" si="3"/>
        <v>0.36794564864754664</v>
      </c>
      <c r="BD35" s="56"/>
      <c r="BE35" s="56"/>
      <c r="BF35" s="56"/>
      <c r="BG35" s="56"/>
      <c r="BH35" s="56"/>
      <c r="BI35" s="56"/>
      <c r="BJ35" s="56"/>
      <c r="BK35" s="56"/>
      <c r="BQ35" s="312">
        <v>18</v>
      </c>
      <c r="BR35" s="313" t="s">
        <v>76</v>
      </c>
      <c r="BS35" s="314">
        <v>0.65359477124183007</v>
      </c>
      <c r="BT35" s="314">
        <v>0.34640522875816993</v>
      </c>
      <c r="BU35" s="314"/>
      <c r="BV35" s="315">
        <v>111.44000000000001</v>
      </c>
      <c r="BW35">
        <v>27.860000000000003</v>
      </c>
      <c r="BX35">
        <v>0.16848089017900342</v>
      </c>
      <c r="BY35" s="316">
        <v>0.67392356071601367</v>
      </c>
      <c r="BZ35" s="319">
        <f t="shared" si="0"/>
        <v>0.32607643928398633</v>
      </c>
      <c r="CA35" s="93"/>
      <c r="CB35" s="93"/>
      <c r="CC35" s="93"/>
      <c r="CE35" s="83"/>
      <c r="CF35" s="174"/>
      <c r="CG35" s="56"/>
      <c r="CH35" s="56"/>
    </row>
    <row r="36" spans="1:86" ht="15" thickBot="1">
      <c r="A36" s="216">
        <v>0.42390843577787196</v>
      </c>
      <c r="B36" s="216">
        <v>0.19923696481559983</v>
      </c>
      <c r="C36" s="216">
        <v>0.37685459940652821</v>
      </c>
      <c r="D36" s="216">
        <v>130.16</v>
      </c>
      <c r="E36" s="140">
        <v>0.34720003867538729</v>
      </c>
      <c r="F36" s="260">
        <f t="shared" si="4"/>
        <v>0.65279996132461271</v>
      </c>
      <c r="G36" s="241">
        <v>0.52746843688890843</v>
      </c>
      <c r="H36" s="241">
        <v>0.31976115336472843</v>
      </c>
      <c r="I36" s="140">
        <f t="shared" si="5"/>
        <v>0.34433137520103335</v>
      </c>
      <c r="AU36" s="222">
        <v>0.48447478528958382</v>
      </c>
      <c r="AV36" s="222">
        <v>0.13895617705351243</v>
      </c>
      <c r="AW36" s="222">
        <v>0.3765690376569038</v>
      </c>
      <c r="AX36" s="222">
        <v>136.08000000000001</v>
      </c>
      <c r="AY36" s="140">
        <v>0.34233921511046433</v>
      </c>
      <c r="AZ36" s="243">
        <f t="shared" si="2"/>
        <v>0.65766078488953572</v>
      </c>
      <c r="BA36" s="241">
        <v>0.5978902457411267</v>
      </c>
      <c r="BB36" s="241">
        <v>0.3145504720942503</v>
      </c>
      <c r="BC36" s="246">
        <f t="shared" si="3"/>
        <v>0.39320896829190677</v>
      </c>
      <c r="BD36" s="56"/>
      <c r="BE36" s="56"/>
      <c r="BF36" s="56"/>
      <c r="BG36" s="56"/>
      <c r="BH36" s="93"/>
      <c r="BI36" s="93"/>
      <c r="BJ36" s="93"/>
      <c r="BK36" s="56"/>
      <c r="BQ36" s="312">
        <v>19</v>
      </c>
      <c r="BR36" s="313" t="s">
        <v>17</v>
      </c>
      <c r="BS36" s="314">
        <v>1</v>
      </c>
      <c r="BT36" s="314"/>
      <c r="BU36" s="314"/>
      <c r="BV36" s="315">
        <v>105.04</v>
      </c>
      <c r="BW36">
        <v>26.26</v>
      </c>
      <c r="BX36">
        <v>0.1588050314465409</v>
      </c>
      <c r="BY36" s="316">
        <v>0.6352201257861636</v>
      </c>
      <c r="BZ36" s="319">
        <f t="shared" si="0"/>
        <v>0.3647798742138364</v>
      </c>
      <c r="CA36" s="83"/>
      <c r="CB36" s="83"/>
      <c r="CC36" s="83"/>
      <c r="CE36" s="83"/>
      <c r="CF36" s="174"/>
      <c r="CG36" s="93"/>
      <c r="CH36" s="56"/>
    </row>
    <row r="37" spans="1:86">
      <c r="A37" s="216">
        <v>0.4533091568449682</v>
      </c>
      <c r="B37" s="216">
        <v>0.13871260199456029</v>
      </c>
      <c r="C37" s="216">
        <v>0.40797824116047138</v>
      </c>
      <c r="D37" s="216">
        <v>132.48000000000002</v>
      </c>
      <c r="E37" s="140">
        <v>0.36902466379497156</v>
      </c>
      <c r="F37" s="260">
        <f t="shared" si="4"/>
        <v>0.63097533620502844</v>
      </c>
      <c r="G37" s="241">
        <v>0.58313792558127309</v>
      </c>
      <c r="H37" s="241">
        <v>0.34141559127621851</v>
      </c>
      <c r="I37" s="140">
        <f t="shared" si="5"/>
        <v>0.36794564864754664</v>
      </c>
      <c r="AU37" s="227">
        <v>0.5524861878453039</v>
      </c>
      <c r="AV37" s="227">
        <v>0</v>
      </c>
      <c r="AW37" s="227">
        <v>0.44751381215469616</v>
      </c>
      <c r="AX37" s="227">
        <v>135.76000000000002</v>
      </c>
      <c r="AY37" s="244">
        <v>0.39201216204690681</v>
      </c>
      <c r="AZ37" s="245">
        <f t="shared" si="2"/>
        <v>0.60798783795309319</v>
      </c>
      <c r="BA37" s="242">
        <v>0.73659006348867362</v>
      </c>
      <c r="BB37" s="242">
        <v>0.36382878719076445</v>
      </c>
      <c r="BC37" s="250">
        <v>0.45018264244560424</v>
      </c>
      <c r="BD37" s="240"/>
      <c r="BE37" s="240"/>
      <c r="BF37" s="83"/>
      <c r="BG37" s="174"/>
      <c r="BH37" s="83"/>
      <c r="BI37" s="83"/>
      <c r="BJ37" s="83"/>
      <c r="BK37" s="56"/>
      <c r="BQ37" s="312">
        <v>20</v>
      </c>
      <c r="BR37" s="313" t="s">
        <v>76</v>
      </c>
      <c r="BS37" s="317">
        <v>0.86</v>
      </c>
      <c r="BT37" s="318">
        <v>0.14000000000000001</v>
      </c>
      <c r="BU37" s="314"/>
      <c r="BV37" s="315">
        <v>106.61333333333334</v>
      </c>
      <c r="BW37">
        <v>26.653333333333336</v>
      </c>
      <c r="BX37">
        <v>0.16118368005160461</v>
      </c>
      <c r="BY37" s="316">
        <v>0.64473472020641842</v>
      </c>
      <c r="BZ37" s="319">
        <f t="shared" si="0"/>
        <v>0.35526527979358158</v>
      </c>
      <c r="CA37" s="83"/>
      <c r="CB37" s="83"/>
      <c r="CC37" s="83"/>
      <c r="CE37" s="83"/>
      <c r="CF37" s="174"/>
      <c r="CG37" s="83"/>
      <c r="CH37" s="56"/>
    </row>
    <row r="38" spans="1:86" ht="15" thickBot="1">
      <c r="A38" s="216">
        <v>0.42390843577787196</v>
      </c>
      <c r="B38" s="216">
        <v>0.16913946587537093</v>
      </c>
      <c r="C38" s="216">
        <v>0.40695209834675711</v>
      </c>
      <c r="D38" s="216">
        <v>135.62666666666669</v>
      </c>
      <c r="E38" s="140">
        <v>0.37048319634007487</v>
      </c>
      <c r="F38" s="260">
        <f t="shared" si="4"/>
        <v>0.62951680365992513</v>
      </c>
      <c r="G38" s="241">
        <v>0.54680540434311609</v>
      </c>
      <c r="H38" s="241">
        <v>0.34304397478921717</v>
      </c>
      <c r="I38" s="140">
        <f t="shared" si="5"/>
        <v>0.34422319036605137</v>
      </c>
      <c r="AU38" s="230">
        <v>0.56657223796033995</v>
      </c>
      <c r="AV38" s="230">
        <v>0</v>
      </c>
      <c r="AW38" s="230">
        <v>0.43342776203966005</v>
      </c>
      <c r="AX38" s="230">
        <v>135.22666666666669</v>
      </c>
      <c r="AY38" s="244">
        <v>0.38003625275209435</v>
      </c>
      <c r="AZ38" s="245">
        <f t="shared" si="2"/>
        <v>0.61996374724790559</v>
      </c>
      <c r="BA38" s="242">
        <v>0.74077833774877022</v>
      </c>
      <c r="BB38" s="242">
        <v>0.35177161802683821</v>
      </c>
      <c r="BC38" s="244">
        <v>0.46167408483593442</v>
      </c>
      <c r="BD38" s="240"/>
      <c r="BE38" s="240"/>
      <c r="BF38" s="83"/>
      <c r="BG38" s="174"/>
      <c r="BH38" s="83"/>
      <c r="BI38" s="83"/>
      <c r="BJ38" s="83"/>
      <c r="BK38" s="56"/>
      <c r="BQ38" s="312">
        <v>21</v>
      </c>
      <c r="BR38" s="313" t="s">
        <v>76</v>
      </c>
      <c r="BS38" s="314">
        <v>0.76</v>
      </c>
      <c r="BT38" s="314">
        <v>0.24</v>
      </c>
      <c r="BU38" s="314"/>
      <c r="BV38" s="315">
        <v>108</v>
      </c>
      <c r="BW38">
        <v>27</v>
      </c>
      <c r="BX38">
        <v>0.1632801161103048</v>
      </c>
      <c r="BY38" s="316">
        <v>0.65312046444121918</v>
      </c>
      <c r="BZ38" s="319">
        <f t="shared" si="0"/>
        <v>0.34687953555878082</v>
      </c>
      <c r="CA38" s="83"/>
      <c r="CB38" s="83"/>
      <c r="CC38" s="83"/>
      <c r="CE38" s="83"/>
      <c r="CF38" s="174"/>
      <c r="CG38" s="83"/>
      <c r="CH38" s="56"/>
    </row>
    <row r="39" spans="1:86" ht="15" thickBot="1">
      <c r="A39" s="216">
        <v>0.42337002540220159</v>
      </c>
      <c r="B39" s="216">
        <v>0.1384419983065199</v>
      </c>
      <c r="C39" s="216">
        <v>0.43818797629127859</v>
      </c>
      <c r="D39" s="216">
        <v>134.69333333333336</v>
      </c>
      <c r="E39" s="140">
        <v>0.39468826798077178</v>
      </c>
      <c r="F39" s="260">
        <f t="shared" si="4"/>
        <v>0.60531173201922828</v>
      </c>
      <c r="G39" s="241">
        <v>0.5677676230218065</v>
      </c>
      <c r="H39" s="241">
        <v>0.36725178047191565</v>
      </c>
      <c r="I39" s="140">
        <f t="shared" si="5"/>
        <v>0.34367640327576998</v>
      </c>
      <c r="AU39" s="234">
        <v>0.5818965517241379</v>
      </c>
      <c r="AV39" s="234">
        <v>0</v>
      </c>
      <c r="AW39" s="234">
        <v>0.41810344827586204</v>
      </c>
      <c r="AX39" s="234">
        <v>136.66666666666666</v>
      </c>
      <c r="AY39" s="244">
        <v>0.36700757734423034</v>
      </c>
      <c r="AZ39" s="245">
        <f t="shared" si="2"/>
        <v>0.63299242265576972</v>
      </c>
      <c r="BA39" s="242">
        <v>0.74515480021471081</v>
      </c>
      <c r="BB39" s="242">
        <v>0.33865453823070957</v>
      </c>
      <c r="BC39" s="244">
        <v>0.4741758754322335</v>
      </c>
      <c r="BD39" s="240"/>
      <c r="BE39" s="240"/>
      <c r="BF39" s="83"/>
      <c r="BG39" s="174"/>
      <c r="BH39" s="83"/>
      <c r="BI39" s="83"/>
      <c r="BJ39" s="83"/>
      <c r="BK39" s="56"/>
      <c r="BQ39" s="312">
        <v>22</v>
      </c>
      <c r="BR39" s="313" t="s">
        <v>76</v>
      </c>
      <c r="BS39" s="314">
        <v>0.66999999999999993</v>
      </c>
      <c r="BT39" s="314">
        <v>0.33</v>
      </c>
      <c r="BU39" s="314"/>
      <c r="BV39" s="315">
        <v>110.45333333333333</v>
      </c>
      <c r="BW39">
        <v>27.613333333333333</v>
      </c>
      <c r="BX39">
        <v>0.16698919529108208</v>
      </c>
      <c r="BY39" s="316">
        <v>0.66795678116432833</v>
      </c>
      <c r="BZ39" s="319">
        <f t="shared" si="0"/>
        <v>0.33204321883567167</v>
      </c>
      <c r="CA39" s="83"/>
      <c r="CB39" s="83"/>
      <c r="CC39" s="83"/>
      <c r="CE39" s="83"/>
      <c r="CF39" s="174"/>
      <c r="CG39" s="83"/>
      <c r="CH39" s="56"/>
    </row>
    <row r="40" spans="1:86" ht="15" thickBot="1">
      <c r="A40" s="222">
        <v>0.48447478528958382</v>
      </c>
      <c r="B40" s="222">
        <v>0.13895617705351243</v>
      </c>
      <c r="C40" s="222">
        <v>0.3765690376569038</v>
      </c>
      <c r="D40" s="222">
        <v>136.08000000000001</v>
      </c>
      <c r="E40" s="140">
        <v>0.34233921511046433</v>
      </c>
      <c r="F40" s="260">
        <f t="shared" si="4"/>
        <v>0.65766078488953572</v>
      </c>
      <c r="G40" s="241">
        <v>0.5978902457411267</v>
      </c>
      <c r="H40" s="241">
        <v>0.3145504720942503</v>
      </c>
      <c r="I40" s="140">
        <f t="shared" si="5"/>
        <v>0.39320896829190677</v>
      </c>
      <c r="AU40" s="237">
        <v>0.59734513274336276</v>
      </c>
      <c r="AV40" s="237">
        <v>0</v>
      </c>
      <c r="AW40" s="237">
        <v>0.40265486725663713</v>
      </c>
      <c r="AX40" s="237">
        <v>133.81333333333333</v>
      </c>
      <c r="AY40" s="244">
        <v>0.35387325156289595</v>
      </c>
      <c r="AZ40" s="245">
        <f t="shared" si="2"/>
        <v>0.64612674843710405</v>
      </c>
      <c r="BA40" s="242">
        <v>0.74938810217856811</v>
      </c>
      <c r="BB40" s="242">
        <v>0.32543108998437797</v>
      </c>
      <c r="BC40" s="244">
        <v>0.48677921271080815</v>
      </c>
      <c r="BD40" s="240"/>
      <c r="BE40" s="240"/>
      <c r="BF40" s="83"/>
      <c r="BG40" s="174"/>
      <c r="BH40" s="83"/>
      <c r="BI40" s="83"/>
      <c r="BJ40" s="83"/>
      <c r="BK40" s="56"/>
      <c r="BQ40" s="312">
        <v>23</v>
      </c>
      <c r="BR40" s="313" t="s">
        <v>76</v>
      </c>
      <c r="BS40" s="314">
        <v>0.64</v>
      </c>
      <c r="BT40" s="314">
        <v>0.36</v>
      </c>
      <c r="BU40" s="314"/>
      <c r="BV40" s="315">
        <v>108.93333333333334</v>
      </c>
      <c r="BW40">
        <v>27.233333333333334</v>
      </c>
      <c r="BX40">
        <v>0.16469117884212225</v>
      </c>
      <c r="BY40" s="316">
        <v>0.65876471536848902</v>
      </c>
      <c r="BZ40" s="319">
        <f t="shared" si="0"/>
        <v>0.34123528463151098</v>
      </c>
      <c r="CA40" s="83"/>
      <c r="CB40" s="83"/>
      <c r="CC40" s="83"/>
      <c r="CE40" s="83"/>
      <c r="CF40" s="174"/>
      <c r="CG40" s="83"/>
      <c r="CH40" s="56"/>
    </row>
    <row r="41" spans="1:86">
      <c r="A41" s="227">
        <v>0.61085972850678727</v>
      </c>
      <c r="B41" s="227">
        <v>0</v>
      </c>
      <c r="C41" s="227">
        <v>0.38914027149321262</v>
      </c>
      <c r="D41" s="227">
        <v>133.14666666666668</v>
      </c>
      <c r="E41" s="244">
        <v>0.34238319373504122</v>
      </c>
      <c r="F41" s="261">
        <f t="shared" si="4"/>
        <v>0.65761680626495878</v>
      </c>
      <c r="G41" s="242">
        <v>0.75295277138654582</v>
      </c>
      <c r="H41" s="242">
        <v>0.31386306587748147</v>
      </c>
      <c r="I41" s="251" t="e">
        <f>#REF!</f>
        <v>#REF!</v>
      </c>
      <c r="AU41" s="227">
        <v>0.61085972850678727</v>
      </c>
      <c r="AV41" s="227">
        <v>0</v>
      </c>
      <c r="AW41" s="227">
        <v>0.38914027149321262</v>
      </c>
      <c r="AX41" s="227">
        <v>133.14666666666668</v>
      </c>
      <c r="AY41" s="244">
        <v>0.34238319373504122</v>
      </c>
      <c r="AZ41" s="245">
        <f t="shared" si="2"/>
        <v>0.65761680626495878</v>
      </c>
      <c r="BA41" s="242">
        <v>0.75295277138654582</v>
      </c>
      <c r="BB41" s="242">
        <v>0.31386306587748147</v>
      </c>
      <c r="BC41" s="251" t="e">
        <f>#REF!</f>
        <v>#REF!</v>
      </c>
      <c r="BD41" s="240"/>
      <c r="BE41" s="240"/>
      <c r="BF41" s="83"/>
      <c r="BG41" s="174"/>
      <c r="BH41" s="83"/>
      <c r="BI41" s="83"/>
      <c r="BJ41" s="83"/>
      <c r="BK41" s="56"/>
      <c r="BQ41" s="312">
        <v>24</v>
      </c>
      <c r="BR41" s="313" t="s">
        <v>76</v>
      </c>
      <c r="BS41" s="314">
        <v>0.62</v>
      </c>
      <c r="BT41" s="314">
        <v>0.38</v>
      </c>
      <c r="BU41" s="314"/>
      <c r="BV41" s="315">
        <v>108.32000000000001</v>
      </c>
      <c r="BW41">
        <v>27.080000000000002</v>
      </c>
      <c r="BX41">
        <v>0.16376390904692792</v>
      </c>
      <c r="BY41" s="316">
        <v>0.65505563618771168</v>
      </c>
      <c r="BZ41" s="319">
        <f t="shared" si="0"/>
        <v>0.34494436381228832</v>
      </c>
      <c r="CA41" s="83"/>
      <c r="CB41" s="83"/>
      <c r="CC41" s="83"/>
      <c r="CE41" s="83"/>
      <c r="CF41" s="174"/>
      <c r="CG41" s="83"/>
      <c r="CH41" s="56"/>
    </row>
    <row r="42" spans="1:86" ht="15" thickBot="1">
      <c r="A42" s="230">
        <v>0.59734513274336276</v>
      </c>
      <c r="B42" s="230">
        <v>0</v>
      </c>
      <c r="C42" s="230">
        <v>0.40265486725663713</v>
      </c>
      <c r="D42" s="230">
        <v>133.81333333333333</v>
      </c>
      <c r="E42" s="244">
        <v>0.35387325156289595</v>
      </c>
      <c r="F42" s="261">
        <f t="shared" si="4"/>
        <v>0.64612674843710405</v>
      </c>
      <c r="G42" s="242">
        <v>0.74938810217856811</v>
      </c>
      <c r="H42" s="242">
        <v>0.32543108998437797</v>
      </c>
      <c r="I42" s="244">
        <v>0.48677921271080815</v>
      </c>
      <c r="BA42" s="93"/>
      <c r="BB42" s="240"/>
      <c r="BC42" s="240"/>
      <c r="BD42" s="240"/>
      <c r="BE42" s="240"/>
      <c r="BF42" s="83"/>
      <c r="BG42" s="174"/>
      <c r="BH42" s="83"/>
      <c r="BI42" s="83"/>
      <c r="BJ42" s="83"/>
      <c r="BK42" s="56"/>
      <c r="BQ42" s="312">
        <v>25</v>
      </c>
      <c r="BR42" s="313" t="s">
        <v>76</v>
      </c>
      <c r="BS42" s="314">
        <v>0.57000000000000006</v>
      </c>
      <c r="BT42" s="314">
        <v>0.43</v>
      </c>
      <c r="BU42" s="314"/>
      <c r="BV42" s="315">
        <v>109.60000000000002</v>
      </c>
      <c r="BW42">
        <v>27.400000000000006</v>
      </c>
      <c r="BX42">
        <v>0.16569908079342047</v>
      </c>
      <c r="BY42" s="316">
        <v>0.66279632317368187</v>
      </c>
      <c r="BZ42" s="319">
        <f t="shared" si="0"/>
        <v>0.33720367682631813</v>
      </c>
      <c r="CA42" s="83"/>
      <c r="CB42" s="83"/>
      <c r="CC42" s="83"/>
      <c r="CE42" s="83"/>
      <c r="CF42" s="174"/>
      <c r="CG42" s="83"/>
      <c r="CH42" s="56"/>
    </row>
    <row r="43" spans="1:86" ht="15" thickBot="1">
      <c r="A43" s="234">
        <v>0.5818965517241379</v>
      </c>
      <c r="B43" s="234">
        <v>0</v>
      </c>
      <c r="C43" s="234">
        <v>0.41810344827586204</v>
      </c>
      <c r="D43" s="234">
        <v>136.66666666666666</v>
      </c>
      <c r="E43" s="244">
        <v>0.36700757734423034</v>
      </c>
      <c r="F43" s="261">
        <f t="shared" si="4"/>
        <v>0.63299242265576972</v>
      </c>
      <c r="G43" s="242">
        <v>0.74515480021471081</v>
      </c>
      <c r="H43" s="242">
        <v>0.33865453823070957</v>
      </c>
      <c r="I43" s="244">
        <v>0.4741758754322335</v>
      </c>
      <c r="BA43" s="93"/>
      <c r="BB43" s="240"/>
      <c r="BC43" s="240"/>
      <c r="BD43" s="240"/>
      <c r="BE43" s="240"/>
      <c r="BF43" s="83"/>
      <c r="BG43" s="174"/>
      <c r="BH43" s="83"/>
      <c r="BI43" s="83"/>
      <c r="BJ43" s="83"/>
      <c r="BK43" s="56"/>
      <c r="BQ43" s="312">
        <v>26</v>
      </c>
      <c r="BR43" s="313" t="s">
        <v>76</v>
      </c>
      <c r="BS43" s="314">
        <v>0.52</v>
      </c>
      <c r="BT43" s="314">
        <v>0.48</v>
      </c>
      <c r="BU43" s="314"/>
      <c r="BV43" s="315">
        <v>109.36000000000001</v>
      </c>
      <c r="BW43">
        <v>27.340000000000003</v>
      </c>
      <c r="BX43">
        <v>0.16533623609095308</v>
      </c>
      <c r="BY43" s="316">
        <v>0.6613449443638123</v>
      </c>
      <c r="BZ43" s="319">
        <f t="shared" si="0"/>
        <v>0.3386550556361877</v>
      </c>
      <c r="CA43" s="83"/>
      <c r="CB43" s="83"/>
      <c r="CC43" s="83"/>
      <c r="CE43" s="83"/>
      <c r="CF43" s="174"/>
      <c r="CG43" s="83"/>
      <c r="CH43" s="56"/>
    </row>
    <row r="44" spans="1:86">
      <c r="A44" s="237">
        <v>0.56657223796033995</v>
      </c>
      <c r="B44" s="237">
        <v>0</v>
      </c>
      <c r="C44" s="237">
        <v>0.43342776203966005</v>
      </c>
      <c r="D44" s="237">
        <v>135.22666666666669</v>
      </c>
      <c r="E44" s="244">
        <v>0.38003625275209435</v>
      </c>
      <c r="F44" s="261">
        <f t="shared" si="4"/>
        <v>0.61996374724790559</v>
      </c>
      <c r="G44" s="242">
        <v>0.74077833774877022</v>
      </c>
      <c r="H44" s="242">
        <v>0.35177161802683821</v>
      </c>
      <c r="I44" s="244">
        <v>0.46167408483593442</v>
      </c>
      <c r="BA44" s="93"/>
      <c r="BB44" s="240"/>
      <c r="BC44" s="240"/>
      <c r="BD44" s="240"/>
      <c r="BE44" s="240"/>
      <c r="BF44" s="83"/>
      <c r="BG44" s="174"/>
      <c r="BH44" s="83"/>
      <c r="BI44" s="83"/>
      <c r="BJ44" s="83"/>
      <c r="BK44" s="56"/>
      <c r="BQ44" s="312">
        <v>27</v>
      </c>
      <c r="BR44" s="313" t="s">
        <v>76</v>
      </c>
      <c r="BS44" s="314">
        <v>0.48</v>
      </c>
      <c r="BT44" s="314">
        <v>0.52</v>
      </c>
      <c r="BU44" s="314"/>
      <c r="BV44" s="315">
        <v>111.68</v>
      </c>
      <c r="BW44">
        <v>27.92</v>
      </c>
      <c r="BX44">
        <v>0.16884373488147075</v>
      </c>
      <c r="BY44" s="316">
        <v>0.67537493952588301</v>
      </c>
      <c r="BZ44" s="319">
        <f t="shared" si="0"/>
        <v>0.32462506047411699</v>
      </c>
      <c r="CA44" s="83"/>
      <c r="CB44" s="83"/>
      <c r="CC44" s="83"/>
      <c r="CE44" s="83"/>
      <c r="CF44" s="174"/>
      <c r="CG44" s="83"/>
      <c r="CH44" s="56"/>
    </row>
    <row r="45" spans="1:86">
      <c r="A45" s="227">
        <v>0.5524861878453039</v>
      </c>
      <c r="B45" s="227">
        <v>0</v>
      </c>
      <c r="C45" s="227">
        <v>0.44751381215469616</v>
      </c>
      <c r="D45" s="227">
        <v>135.76000000000002</v>
      </c>
      <c r="E45" s="264">
        <v>0.39201216204690681</v>
      </c>
      <c r="F45" s="262">
        <f t="shared" si="4"/>
        <v>0.60798783795309319</v>
      </c>
      <c r="G45" s="242">
        <v>0.73659006348867362</v>
      </c>
      <c r="H45" s="242">
        <v>0.36382878719076445</v>
      </c>
      <c r="I45" s="264">
        <v>0.45018264244560424</v>
      </c>
      <c r="BA45" s="93"/>
      <c r="BB45" s="240"/>
      <c r="BC45" s="240"/>
      <c r="BD45" s="240"/>
      <c r="BE45" s="240"/>
      <c r="BF45" s="83"/>
      <c r="BG45" s="174"/>
      <c r="BH45" s="83"/>
      <c r="BI45" s="83"/>
      <c r="BJ45" s="83"/>
      <c r="BK45" s="56"/>
      <c r="BQ45" s="312">
        <v>28</v>
      </c>
      <c r="BR45" s="313" t="s">
        <v>4</v>
      </c>
      <c r="BS45" s="314"/>
      <c r="BT45" s="314">
        <v>1</v>
      </c>
      <c r="BU45" s="314"/>
      <c r="BV45" s="315">
        <v>106</v>
      </c>
      <c r="BW45">
        <v>26.5</v>
      </c>
      <c r="BX45">
        <v>0.16025641025641027</v>
      </c>
      <c r="BY45" s="316">
        <v>0.64102564102564108</v>
      </c>
      <c r="BZ45" s="319">
        <f t="shared" si="0"/>
        <v>0.35897435897435892</v>
      </c>
      <c r="CA45" s="83"/>
      <c r="CB45" s="83"/>
      <c r="CC45" s="82"/>
      <c r="CE45" s="83"/>
      <c r="CF45" s="174"/>
      <c r="CG45" s="83"/>
      <c r="CH45" s="56"/>
    </row>
    <row r="46" spans="1:86">
      <c r="BA46" s="56"/>
      <c r="BB46" s="56"/>
      <c r="BC46" s="56"/>
      <c r="BD46" s="56"/>
      <c r="BE46" s="56"/>
      <c r="BF46" s="56"/>
      <c r="BG46" s="56"/>
      <c r="BH46" s="56"/>
      <c r="BI46" s="56"/>
      <c r="BJ46" s="56"/>
      <c r="BK46" s="56"/>
      <c r="BQ46" s="312">
        <v>29</v>
      </c>
      <c r="BR46" s="313" t="s">
        <v>77</v>
      </c>
      <c r="BS46" s="314">
        <v>0.45392646391284608</v>
      </c>
      <c r="BT46" s="314">
        <v>0.1693145710394916</v>
      </c>
      <c r="BU46" s="314">
        <v>0.37675896504766226</v>
      </c>
      <c r="BV46" s="315">
        <v>131.09333333333333</v>
      </c>
      <c r="BW46">
        <v>32.773333333333333</v>
      </c>
      <c r="BX46">
        <v>0.19819383970327367</v>
      </c>
      <c r="BY46" s="316">
        <v>0.79277535881309469</v>
      </c>
      <c r="BZ46" s="319">
        <f t="shared" si="0"/>
        <v>0.20722464118690531</v>
      </c>
      <c r="CA46" s="83"/>
      <c r="CB46" s="83"/>
      <c r="CC46" s="83"/>
      <c r="CE46" s="83"/>
      <c r="CF46" s="174"/>
      <c r="CG46" s="82"/>
      <c r="CH46" s="56"/>
    </row>
    <row r="47" spans="1:86">
      <c r="BA47" s="56"/>
      <c r="BB47" s="56"/>
      <c r="BC47" s="56"/>
      <c r="BD47" s="56"/>
      <c r="BE47" s="56"/>
      <c r="BF47" s="56"/>
      <c r="BG47" s="56"/>
      <c r="BH47" s="56"/>
      <c r="BI47" s="56"/>
      <c r="BJ47" s="56"/>
      <c r="BK47" s="56"/>
      <c r="BQ47" s="312">
        <v>30</v>
      </c>
      <c r="BR47" s="313" t="s">
        <v>77</v>
      </c>
      <c r="BS47" s="314">
        <v>0.45372050816696918</v>
      </c>
      <c r="BT47" s="314">
        <v>0.19918330308529944</v>
      </c>
      <c r="BU47" s="314">
        <v>0.3470961887477314</v>
      </c>
      <c r="BV47" s="315">
        <v>131.49333333333334</v>
      </c>
      <c r="BW47">
        <v>32.873333333333335</v>
      </c>
      <c r="BX47">
        <v>0.19879858087405258</v>
      </c>
      <c r="BY47" s="316">
        <v>0.79519432349621033</v>
      </c>
      <c r="BZ47" s="319">
        <f t="shared" si="0"/>
        <v>0.20480567650378967</v>
      </c>
      <c r="CA47" s="83"/>
      <c r="CB47" s="83"/>
      <c r="CC47" s="83"/>
      <c r="CE47" s="83"/>
      <c r="CF47" s="174"/>
      <c r="CG47" s="83"/>
      <c r="CH47" s="56"/>
    </row>
    <row r="48" spans="1:86">
      <c r="E48" s="254"/>
      <c r="AT48" s="56"/>
      <c r="AU48" s="216">
        <v>0.48447478528958382</v>
      </c>
      <c r="AV48" s="216">
        <v>0.19951552521471044</v>
      </c>
      <c r="AW48" s="216">
        <v>0.31490861043822949</v>
      </c>
      <c r="AX48" s="216">
        <v>132.02666666666667</v>
      </c>
      <c r="AY48" s="140">
        <v>0.29454643422405358</v>
      </c>
      <c r="AZ48" s="243">
        <f t="shared" ref="AZ48:AZ61" si="6">1-AY48</f>
        <v>0.70545356577594642</v>
      </c>
      <c r="BA48" s="241">
        <v>0.55856166329815216</v>
      </c>
      <c r="BB48" s="241">
        <v>0.26675413378132928</v>
      </c>
      <c r="BC48" s="246">
        <f>BA48*AZ48</f>
        <v>0.39403931707942502</v>
      </c>
      <c r="BD48" s="56"/>
      <c r="BE48" s="56"/>
      <c r="BF48" s="56"/>
      <c r="BG48" s="56"/>
      <c r="BH48" s="93"/>
      <c r="BI48" s="93"/>
      <c r="BJ48" s="93"/>
      <c r="BK48" s="56"/>
      <c r="BQ48" s="312">
        <v>31</v>
      </c>
      <c r="BR48" s="313" t="s">
        <v>77</v>
      </c>
      <c r="BS48" s="314">
        <v>0.4533091568449682</v>
      </c>
      <c r="BT48" s="314">
        <v>0.13871260199456029</v>
      </c>
      <c r="BU48" s="314">
        <v>0.40797824116047138</v>
      </c>
      <c r="BV48" s="315">
        <v>132.48000000000002</v>
      </c>
      <c r="BW48">
        <v>33.120000000000005</v>
      </c>
      <c r="BX48">
        <v>0.20029027576197392</v>
      </c>
      <c r="BY48" s="316">
        <v>0.80116110304789567</v>
      </c>
      <c r="BZ48" s="319">
        <f t="shared" si="0"/>
        <v>0.19883889695210433</v>
      </c>
      <c r="CA48" s="83"/>
      <c r="CB48" s="83"/>
      <c r="CC48" s="83"/>
      <c r="CE48" s="83"/>
      <c r="CF48" s="174"/>
      <c r="CG48" s="83"/>
      <c r="CH48" s="56"/>
    </row>
    <row r="49" spans="4:86">
      <c r="D49" s="83"/>
      <c r="E49" s="254"/>
      <c r="F49" s="56"/>
      <c r="AT49" s="174"/>
      <c r="AU49" s="216">
        <v>0.48479506390480392</v>
      </c>
      <c r="AV49" s="216">
        <v>0.16923754958131337</v>
      </c>
      <c r="AW49" s="216">
        <v>0.34596738651388281</v>
      </c>
      <c r="AX49" s="216">
        <v>133.65333333333334</v>
      </c>
      <c r="AY49" s="140">
        <v>0.31864144623286517</v>
      </c>
      <c r="AZ49" s="243">
        <f t="shared" si="6"/>
        <v>0.68135855376713483</v>
      </c>
      <c r="BA49" s="241">
        <v>0.57763635880680286</v>
      </c>
      <c r="BB49" s="241">
        <v>0.29085126239152748</v>
      </c>
      <c r="BC49" s="246">
        <f>BA49*AZ49</f>
        <v>0.393577474039917</v>
      </c>
      <c r="BD49" s="240"/>
      <c r="BE49" s="240"/>
      <c r="BF49" s="83"/>
      <c r="BG49" s="174"/>
      <c r="BH49" s="83"/>
      <c r="BI49" s="83"/>
      <c r="BJ49" s="83"/>
      <c r="BK49" s="56"/>
      <c r="BQ49" s="312">
        <v>32</v>
      </c>
      <c r="BR49" s="313" t="s">
        <v>77</v>
      </c>
      <c r="BS49" s="314">
        <v>0.48479506390480392</v>
      </c>
      <c r="BT49" s="314">
        <v>0.16923754958131337</v>
      </c>
      <c r="BU49" s="314">
        <v>0.34596738651388281</v>
      </c>
      <c r="BV49" s="315">
        <v>133.65333333333334</v>
      </c>
      <c r="BW49">
        <v>33.413333333333334</v>
      </c>
      <c r="BX49">
        <v>0.20206418319625868</v>
      </c>
      <c r="BY49" s="316">
        <v>0.80825673278503474</v>
      </c>
      <c r="BZ49" s="319">
        <f t="shared" si="0"/>
        <v>0.19174326721496526</v>
      </c>
      <c r="CA49" s="83"/>
      <c r="CB49" s="83"/>
      <c r="CC49" s="83"/>
      <c r="CE49" s="56"/>
      <c r="CF49" s="56"/>
      <c r="CG49" s="83"/>
      <c r="CH49" s="56"/>
    </row>
    <row r="50" spans="4:86">
      <c r="D50" s="83"/>
      <c r="E50" s="56"/>
      <c r="F50" s="56"/>
      <c r="AT50" s="174"/>
      <c r="AU50" s="219">
        <v>0.45372050816696918</v>
      </c>
      <c r="AV50" s="219">
        <v>0.19918330308529944</v>
      </c>
      <c r="AW50" s="219">
        <v>0.3470961887477314</v>
      </c>
      <c r="AX50" s="219">
        <v>131.49333333333334</v>
      </c>
      <c r="AY50" s="140">
        <v>0.32189526844113597</v>
      </c>
      <c r="AZ50" s="243">
        <f t="shared" si="6"/>
        <v>0.67810473155886397</v>
      </c>
      <c r="BA50" s="241">
        <v>0.54342120395432714</v>
      </c>
      <c r="BB50" s="241">
        <v>0.29428456752433269</v>
      </c>
      <c r="BC50" s="246">
        <f>BA50*AZ50</f>
        <v>0.36849648963084369</v>
      </c>
      <c r="BD50" s="240"/>
      <c r="BE50" s="240"/>
      <c r="BF50" s="83"/>
      <c r="BG50" s="174"/>
      <c r="BH50" s="83"/>
      <c r="BI50" s="83"/>
      <c r="BJ50" s="83"/>
      <c r="BK50" s="56"/>
      <c r="BQ50" s="312">
        <v>33</v>
      </c>
      <c r="BR50" s="313" t="s">
        <v>77</v>
      </c>
      <c r="BS50" s="314">
        <v>0.48447478528958382</v>
      </c>
      <c r="BT50" s="314">
        <v>0.19951552521471044</v>
      </c>
      <c r="BU50" s="314">
        <v>0.31490861043822949</v>
      </c>
      <c r="BV50" s="315">
        <v>132.02666666666667</v>
      </c>
      <c r="BW50">
        <v>33.006666666666668</v>
      </c>
      <c r="BX50">
        <v>0.19960490243509113</v>
      </c>
      <c r="BY50" s="316">
        <v>0.79841960974036452</v>
      </c>
      <c r="BZ50" s="319">
        <f t="shared" si="0"/>
        <v>0.20158039025963548</v>
      </c>
      <c r="CA50" s="56"/>
      <c r="CB50" s="56"/>
      <c r="CC50" s="56"/>
      <c r="CE50" s="56"/>
      <c r="CF50" s="56"/>
      <c r="CG50" s="83"/>
      <c r="CH50" s="56"/>
    </row>
    <row r="51" spans="4:86">
      <c r="D51" s="56"/>
      <c r="E51" s="56"/>
      <c r="F51" s="56"/>
      <c r="AU51" s="237">
        <v>0.61085972850678727</v>
      </c>
      <c r="AV51" s="237">
        <v>0</v>
      </c>
      <c r="AW51" s="237">
        <v>0.38914027149321262</v>
      </c>
      <c r="AX51" s="237">
        <v>133.14666666666668</v>
      </c>
      <c r="AY51" s="244">
        <v>0.34238319373504122</v>
      </c>
      <c r="AZ51" s="245">
        <f t="shared" si="6"/>
        <v>0.65761680626495878</v>
      </c>
      <c r="BA51" s="242">
        <v>0.75295277138654582</v>
      </c>
      <c r="BB51" s="242">
        <v>0.31386306587748147</v>
      </c>
      <c r="BC51" s="252" t="e">
        <f>#REF!</f>
        <v>#REF!</v>
      </c>
      <c r="BD51" s="240"/>
      <c r="BE51" s="240"/>
      <c r="BF51" s="83"/>
      <c r="BG51" s="174"/>
      <c r="BH51" s="83"/>
      <c r="BI51" s="83"/>
      <c r="BJ51" s="83"/>
      <c r="BK51" s="56"/>
      <c r="BQ51" s="312">
        <v>34</v>
      </c>
      <c r="BR51" s="313" t="s">
        <v>77</v>
      </c>
      <c r="BS51" s="314">
        <v>0.48447478528958382</v>
      </c>
      <c r="BT51" s="314">
        <v>0.13895617705351243</v>
      </c>
      <c r="BU51" s="314">
        <v>0.3765690376569038</v>
      </c>
      <c r="BV51" s="315">
        <v>136.08000000000001</v>
      </c>
      <c r="BW51">
        <v>34.020000000000003</v>
      </c>
      <c r="BX51">
        <v>0.20573294629898406</v>
      </c>
      <c r="BY51" s="316">
        <v>0.82293178519593624</v>
      </c>
      <c r="BZ51" s="319">
        <f t="shared" si="0"/>
        <v>0.17706821480406376</v>
      </c>
      <c r="CA51" s="56"/>
      <c r="CB51" s="56"/>
      <c r="CC51" s="56"/>
      <c r="CE51" s="56"/>
      <c r="CF51" s="56"/>
      <c r="CG51" s="56"/>
      <c r="CH51" s="56"/>
    </row>
    <row r="52" spans="4:86">
      <c r="D52" s="56"/>
      <c r="E52" s="56"/>
      <c r="F52" s="56"/>
      <c r="AB52" s="173" t="e">
        <f>#REF!</f>
        <v>#REF!</v>
      </c>
      <c r="AD52" s="89" t="s">
        <v>42</v>
      </c>
      <c r="AE52" s="16" t="s">
        <v>28</v>
      </c>
      <c r="AF52" s="12"/>
      <c r="AH52" s="10" t="s">
        <v>20</v>
      </c>
      <c r="AI52" s="34" t="s">
        <v>33</v>
      </c>
      <c r="AJ52" s="34" t="s">
        <v>34</v>
      </c>
      <c r="AL52" s="230">
        <v>0.59734513274336276</v>
      </c>
      <c r="AM52" s="230">
        <v>0</v>
      </c>
      <c r="AN52" s="230">
        <v>0.40265486725663713</v>
      </c>
      <c r="AP52" s="230">
        <v>133.81333333333333</v>
      </c>
      <c r="AR52" s="141">
        <v>0.35387325156289595</v>
      </c>
      <c r="AT52" s="10"/>
      <c r="AU52" s="216">
        <v>0.48447478528958382</v>
      </c>
      <c r="AV52" s="216">
        <v>0.13895617705351243</v>
      </c>
      <c r="AW52" s="216">
        <v>0.3765690376569038</v>
      </c>
      <c r="AX52" s="216">
        <v>136.08000000000001</v>
      </c>
      <c r="AY52" s="140">
        <v>0.34233921511046433</v>
      </c>
      <c r="AZ52" s="243">
        <f t="shared" si="6"/>
        <v>0.65766078488953572</v>
      </c>
      <c r="BA52" s="241">
        <v>0.5978902457411267</v>
      </c>
      <c r="BB52" s="241">
        <v>0.3145504720942503</v>
      </c>
      <c r="BC52" s="246">
        <f>BA52*AZ52</f>
        <v>0.39320896829190677</v>
      </c>
      <c r="BD52" s="240"/>
      <c r="BE52" s="240"/>
      <c r="BF52" s="83"/>
      <c r="BG52" s="174"/>
      <c r="BH52" s="83"/>
      <c r="BI52" s="83"/>
      <c r="BJ52" s="83"/>
      <c r="BK52" s="56"/>
      <c r="BQ52" s="312">
        <v>35</v>
      </c>
      <c r="BR52" s="313" t="s">
        <v>77</v>
      </c>
      <c r="BS52" s="314">
        <v>0.42390843577787196</v>
      </c>
      <c r="BT52" s="314">
        <v>0.16913946587537093</v>
      </c>
      <c r="BU52" s="314">
        <v>0.40695209834675711</v>
      </c>
      <c r="BV52" s="315">
        <v>135.62666666666669</v>
      </c>
      <c r="BW52">
        <v>33.906666666666673</v>
      </c>
      <c r="BX52">
        <v>0.20504757297210133</v>
      </c>
      <c r="BY52" s="316">
        <v>0.82019029188840531</v>
      </c>
      <c r="BZ52" s="319">
        <f t="shared" si="0"/>
        <v>0.17980970811159469</v>
      </c>
    </row>
    <row r="53" spans="4:86">
      <c r="D53" s="56"/>
      <c r="E53" s="56"/>
      <c r="F53" s="83"/>
      <c r="H53" s="173"/>
      <c r="J53" s="89" t="s">
        <v>42</v>
      </c>
      <c r="K53" s="16" t="s">
        <v>28</v>
      </c>
      <c r="L53" s="12"/>
      <c r="M53" s="10" t="s">
        <v>20</v>
      </c>
      <c r="N53" s="34" t="s">
        <v>33</v>
      </c>
      <c r="O53" s="34" t="s">
        <v>34</v>
      </c>
      <c r="Q53" s="216">
        <v>0.48479506390480392</v>
      </c>
      <c r="R53" s="216">
        <v>0.16923754958131337</v>
      </c>
      <c r="S53" s="216">
        <v>0.34596738651388281</v>
      </c>
      <c r="U53" s="216">
        <v>133.65333333333334</v>
      </c>
      <c r="AD53" s="16" t="s">
        <v>31</v>
      </c>
      <c r="AE53" s="143">
        <v>0.74938810217856811</v>
      </c>
      <c r="AF53" s="12"/>
      <c r="AH53" s="16">
        <v>2</v>
      </c>
      <c r="AI53" s="137">
        <v>470</v>
      </c>
      <c r="AJ53" s="138">
        <v>0</v>
      </c>
      <c r="AT53" s="174"/>
      <c r="AU53" s="216">
        <v>0.45392646391284608</v>
      </c>
      <c r="AV53" s="216">
        <v>0.1693145710394916</v>
      </c>
      <c r="AW53" s="216">
        <v>0.37675896504766226</v>
      </c>
      <c r="AX53" s="216">
        <v>131.09333333333333</v>
      </c>
      <c r="AY53" s="140">
        <v>0.34482637033034785</v>
      </c>
      <c r="AZ53" s="243">
        <f t="shared" si="6"/>
        <v>0.6551736296696522</v>
      </c>
      <c r="BA53" s="241">
        <v>0.56253188891860884</v>
      </c>
      <c r="BB53" s="241">
        <v>0.31721412851042335</v>
      </c>
      <c r="BC53" s="246">
        <f>BA53*AZ53</f>
        <v>0.36855605946773057</v>
      </c>
      <c r="BD53" s="240"/>
      <c r="BE53" s="240"/>
      <c r="BF53" s="83"/>
      <c r="BG53" s="174"/>
      <c r="BH53" s="83"/>
      <c r="BI53" s="83"/>
      <c r="BJ53" s="83"/>
      <c r="BK53" s="56"/>
      <c r="BQ53" s="312">
        <v>36</v>
      </c>
      <c r="BR53" s="313" t="s">
        <v>77</v>
      </c>
      <c r="BS53" s="314">
        <v>0.42337002540220159</v>
      </c>
      <c r="BT53" s="314">
        <v>0.1384419983065199</v>
      </c>
      <c r="BU53" s="314">
        <v>0.43818797629127859</v>
      </c>
      <c r="BV53" s="315">
        <v>134.69333333333336</v>
      </c>
      <c r="BW53">
        <v>33.673333333333339</v>
      </c>
      <c r="BX53">
        <v>0.20363651024028387</v>
      </c>
      <c r="BY53" s="316">
        <v>0.81454604096113548</v>
      </c>
      <c r="BZ53" s="319">
        <f t="shared" si="0"/>
        <v>0.18545395903886452</v>
      </c>
    </row>
    <row r="54" spans="4:86">
      <c r="J54" s="16" t="s">
        <v>31</v>
      </c>
      <c r="K54" s="143">
        <v>0.57763635880680286</v>
      </c>
      <c r="L54" s="12"/>
      <c r="M54" s="16"/>
      <c r="N54" s="137">
        <v>470</v>
      </c>
      <c r="O54" s="138">
        <v>0</v>
      </c>
      <c r="AD54" s="16" t="s">
        <v>32</v>
      </c>
      <c r="AE54" s="143">
        <v>0.32543108998437797</v>
      </c>
      <c r="AF54" s="12"/>
      <c r="AT54" s="248">
        <v>134.66666666666669</v>
      </c>
      <c r="AU54" s="216">
        <v>0.42390843577787196</v>
      </c>
      <c r="AV54" s="216">
        <v>0.19923696481559983</v>
      </c>
      <c r="AW54" s="216">
        <v>0.37685459940652821</v>
      </c>
      <c r="AX54" s="216">
        <v>130.16</v>
      </c>
      <c r="AY54" s="140">
        <v>0.34720003867538729</v>
      </c>
      <c r="AZ54" s="243">
        <f t="shared" si="6"/>
        <v>0.65279996132461271</v>
      </c>
      <c r="BA54" s="241">
        <v>0.52746843688890843</v>
      </c>
      <c r="BB54" s="241">
        <v>0.31976115336472843</v>
      </c>
      <c r="BC54" s="246">
        <f>BA54*AZ54</f>
        <v>0.34433137520103335</v>
      </c>
      <c r="BD54" s="240"/>
      <c r="BE54" s="240"/>
      <c r="BF54" s="83"/>
      <c r="BG54" s="174"/>
      <c r="BH54" s="83"/>
      <c r="BI54" s="83"/>
      <c r="BJ54" s="83"/>
      <c r="BK54" s="56"/>
      <c r="BQ54" s="312">
        <v>37</v>
      </c>
      <c r="BR54" s="313" t="s">
        <v>77</v>
      </c>
      <c r="BS54" s="314">
        <v>0.42372881355932202</v>
      </c>
      <c r="BT54" s="314">
        <v>0.19915254237288135</v>
      </c>
      <c r="BU54" s="314">
        <v>0.3771186440677966</v>
      </c>
      <c r="BV54" s="315">
        <v>134.66666666666669</v>
      </c>
      <c r="BW54">
        <v>33.666666666666671</v>
      </c>
      <c r="BX54">
        <v>0.20359619416223193</v>
      </c>
      <c r="BY54" s="316">
        <v>0.81438477664892772</v>
      </c>
      <c r="BZ54" s="319">
        <f t="shared" si="0"/>
        <v>0.18561522335107228</v>
      </c>
    </row>
    <row r="55" spans="4:86" ht="15" thickBot="1">
      <c r="J55" s="16" t="s">
        <v>32</v>
      </c>
      <c r="K55" s="143">
        <v>0.29085126239152748</v>
      </c>
      <c r="L55" s="12"/>
      <c r="AU55" s="227">
        <v>0.59734513274336276</v>
      </c>
      <c r="AV55" s="227">
        <v>0</v>
      </c>
      <c r="AW55" s="227">
        <v>0.40265486725663713</v>
      </c>
      <c r="AX55" s="227">
        <v>133.81333333333333</v>
      </c>
      <c r="AY55" s="244">
        <v>0.35387325156289595</v>
      </c>
      <c r="AZ55" s="245">
        <f t="shared" si="6"/>
        <v>0.64612674843710405</v>
      </c>
      <c r="BA55" s="242">
        <v>0.74938810217856811</v>
      </c>
      <c r="BB55" s="242">
        <v>0.32543108998437797</v>
      </c>
      <c r="BC55" s="247">
        <v>0.48677921271080815</v>
      </c>
      <c r="BD55" s="240"/>
      <c r="BE55" s="240"/>
      <c r="BF55" s="83"/>
      <c r="BG55" s="174"/>
      <c r="BH55" s="83"/>
      <c r="BI55" s="83"/>
      <c r="BJ55" s="83"/>
      <c r="BK55" s="56"/>
      <c r="BQ55" s="312">
        <v>38</v>
      </c>
      <c r="BR55" s="313" t="s">
        <v>78</v>
      </c>
      <c r="BS55" s="314">
        <v>0.59734513274336276</v>
      </c>
      <c r="BT55" s="314"/>
      <c r="BU55" s="314">
        <v>0.40265486725663713</v>
      </c>
      <c r="BV55" s="315">
        <v>133.81333333333333</v>
      </c>
      <c r="BW55">
        <v>33.453333333333333</v>
      </c>
      <c r="BX55">
        <v>0.20230607966457023</v>
      </c>
      <c r="BY55" s="316">
        <v>0.80922431865828093</v>
      </c>
      <c r="BZ55" s="319">
        <f t="shared" si="0"/>
        <v>0.19077568134171907</v>
      </c>
    </row>
    <row r="56" spans="4:86" ht="15" thickBot="1">
      <c r="AU56" s="234">
        <v>0.5818965517241379</v>
      </c>
      <c r="AV56" s="234">
        <v>0</v>
      </c>
      <c r="AW56" s="234">
        <v>0.41810344827586204</v>
      </c>
      <c r="AX56" s="234">
        <v>136.66666666666666</v>
      </c>
      <c r="AY56" s="244">
        <v>0.36700757734423034</v>
      </c>
      <c r="AZ56" s="245">
        <f t="shared" si="6"/>
        <v>0.63299242265576972</v>
      </c>
      <c r="BA56" s="242">
        <v>0.74515480021471081</v>
      </c>
      <c r="BB56" s="242">
        <v>0.33865453823070957</v>
      </c>
      <c r="BC56" s="247">
        <v>0.4741758754322335</v>
      </c>
      <c r="BD56" s="240"/>
      <c r="BE56" s="240"/>
      <c r="BF56" s="83"/>
      <c r="BG56" s="174"/>
      <c r="BH56" s="83"/>
      <c r="BI56" s="83"/>
      <c r="BJ56" s="83"/>
      <c r="BK56" s="56"/>
      <c r="BQ56" s="312">
        <v>39</v>
      </c>
      <c r="BR56" s="313" t="s">
        <v>78</v>
      </c>
      <c r="BS56" s="314">
        <v>0.61085972850678727</v>
      </c>
      <c r="BT56" s="314"/>
      <c r="BU56" s="314">
        <v>0.38914027149321262</v>
      </c>
      <c r="BV56" s="315">
        <v>132.55999999999997</v>
      </c>
      <c r="BW56">
        <v>33.139999999999993</v>
      </c>
      <c r="BX56">
        <v>0.20041122399612962</v>
      </c>
      <c r="BY56" s="316">
        <v>0.80164489598451849</v>
      </c>
      <c r="BZ56" s="319">
        <f t="shared" si="0"/>
        <v>0.19835510401548151</v>
      </c>
    </row>
    <row r="57" spans="4:86">
      <c r="AT57" s="174"/>
      <c r="AU57" s="216">
        <v>0.4533091568449682</v>
      </c>
      <c r="AV57" s="216">
        <v>0.13871260199456029</v>
      </c>
      <c r="AW57" s="216">
        <v>0.40797824116047138</v>
      </c>
      <c r="AX57" s="216">
        <v>132.48000000000002</v>
      </c>
      <c r="AY57" s="140">
        <v>0.36902466379497156</v>
      </c>
      <c r="AZ57" s="243">
        <f t="shared" si="6"/>
        <v>0.63097533620502844</v>
      </c>
      <c r="BA57" s="241">
        <v>0.58313792558127309</v>
      </c>
      <c r="BB57" s="241">
        <v>0.34141559127621851</v>
      </c>
      <c r="BC57" s="246">
        <f>BA57*AZ57</f>
        <v>0.36794564864754664</v>
      </c>
      <c r="BD57" s="240"/>
      <c r="BE57" s="240"/>
      <c r="BF57" s="83"/>
      <c r="BG57" s="174"/>
      <c r="BH57" s="83"/>
      <c r="BI57" s="83"/>
      <c r="BJ57" s="83"/>
      <c r="BK57" s="56"/>
      <c r="BQ57" s="312">
        <v>40</v>
      </c>
      <c r="BR57" s="313" t="s">
        <v>78</v>
      </c>
      <c r="BS57" s="314">
        <v>0.5818965517241379</v>
      </c>
      <c r="BT57" s="314"/>
      <c r="BU57" s="314">
        <v>0.41810344827586204</v>
      </c>
      <c r="BV57" s="315">
        <v>136.66666666666666</v>
      </c>
      <c r="BW57">
        <v>34.166666666666664</v>
      </c>
      <c r="BX57">
        <v>0.20661990001612643</v>
      </c>
      <c r="BY57" s="316">
        <v>0.82647960006450572</v>
      </c>
      <c r="BZ57" s="319">
        <f t="shared" si="0"/>
        <v>0.17352039993549428</v>
      </c>
    </row>
    <row r="58" spans="4:86" ht="15" thickBot="1">
      <c r="AT58" s="126"/>
      <c r="AU58" s="219">
        <v>0.42390843577787196</v>
      </c>
      <c r="AV58" s="219">
        <v>0.16913946587537093</v>
      </c>
      <c r="AW58" s="219">
        <v>0.40695209834675711</v>
      </c>
      <c r="AX58" s="219">
        <v>135.62666666666669</v>
      </c>
      <c r="AY58" s="140">
        <v>0.37048319634007487</v>
      </c>
      <c r="AZ58" s="243">
        <f t="shared" si="6"/>
        <v>0.62951680365992513</v>
      </c>
      <c r="BA58" s="241">
        <v>0.54680540434311609</v>
      </c>
      <c r="BB58" s="241">
        <v>0.34304397478921717</v>
      </c>
      <c r="BC58" s="140">
        <f>BA58*AZ58</f>
        <v>0.34422319036605137</v>
      </c>
      <c r="BD58" s="56"/>
      <c r="BE58" s="56"/>
      <c r="BF58" s="56"/>
      <c r="BG58" s="56"/>
      <c r="BH58" s="56"/>
      <c r="BI58" s="56"/>
      <c r="BJ58" s="56"/>
      <c r="BK58" s="56"/>
      <c r="BQ58" s="312">
        <v>41</v>
      </c>
      <c r="BR58" s="313" t="s">
        <v>78</v>
      </c>
      <c r="BS58" s="314">
        <v>0.56657223796033995</v>
      </c>
      <c r="BT58" s="314"/>
      <c r="BU58" s="314">
        <v>0.43342776203966005</v>
      </c>
      <c r="BV58" s="315">
        <v>135.22666666666669</v>
      </c>
      <c r="BW58">
        <v>33.806666666666672</v>
      </c>
      <c r="BX58">
        <v>0.20444283180132242</v>
      </c>
      <c r="BY58" s="316">
        <v>0.81777132720528967</v>
      </c>
      <c r="BZ58" s="319">
        <f t="shared" si="0"/>
        <v>0.18222867279471033</v>
      </c>
    </row>
    <row r="59" spans="4:86" ht="15" thickBot="1">
      <c r="AU59" s="234">
        <v>0.56657223796033995</v>
      </c>
      <c r="AV59" s="234">
        <v>0</v>
      </c>
      <c r="AW59" s="234">
        <v>0.43342776203966005</v>
      </c>
      <c r="AX59" s="234">
        <v>135.22666666666669</v>
      </c>
      <c r="AY59" s="244">
        <v>0.38003625275209435</v>
      </c>
      <c r="AZ59" s="245">
        <f t="shared" si="6"/>
        <v>0.61996374724790559</v>
      </c>
      <c r="BA59" s="242">
        <v>0.74077833774877022</v>
      </c>
      <c r="BB59" s="242">
        <v>0.35177161802683821</v>
      </c>
      <c r="BC59" s="244">
        <v>0.46167408483593442</v>
      </c>
      <c r="BD59" s="56"/>
      <c r="BE59" s="56"/>
      <c r="BF59" s="56"/>
      <c r="BG59" s="56"/>
      <c r="BH59" s="56"/>
      <c r="BI59" s="56"/>
      <c r="BJ59" s="56"/>
      <c r="BK59" s="56"/>
      <c r="BQ59" s="312">
        <v>42</v>
      </c>
      <c r="BR59" s="313" t="s">
        <v>78</v>
      </c>
      <c r="BS59" s="314">
        <v>0.5524861878453039</v>
      </c>
      <c r="BT59" s="314"/>
      <c r="BU59" s="314">
        <v>0.44751381215469616</v>
      </c>
      <c r="BV59" s="315">
        <v>135.76000000000002</v>
      </c>
      <c r="BW59">
        <v>33.940000000000005</v>
      </c>
      <c r="BX59">
        <v>0.20524915336236096</v>
      </c>
      <c r="BY59" s="316">
        <v>0.82099661344944386</v>
      </c>
      <c r="BZ59" s="319">
        <f t="shared" si="0"/>
        <v>0.17900338655055614</v>
      </c>
    </row>
    <row r="60" spans="4:86">
      <c r="AU60" s="237">
        <v>0.5524861878453039</v>
      </c>
      <c r="AV60" s="237">
        <v>0</v>
      </c>
      <c r="AW60" s="237">
        <v>0.44751381215469616</v>
      </c>
      <c r="AX60" s="237">
        <v>135.76000000000002</v>
      </c>
      <c r="AY60" s="244">
        <v>0.39201216204690681</v>
      </c>
      <c r="AZ60" s="245">
        <f t="shared" si="6"/>
        <v>0.60798783795309319</v>
      </c>
      <c r="BA60" s="242">
        <v>0.73659006348867362</v>
      </c>
      <c r="BB60" s="242">
        <v>0.36382878719076445</v>
      </c>
      <c r="BC60" s="244">
        <v>0.45018264244560424</v>
      </c>
      <c r="BD60" s="56"/>
      <c r="BE60" s="56"/>
      <c r="BF60" s="56"/>
      <c r="BG60" s="56"/>
      <c r="BH60" s="56"/>
      <c r="BI60" s="56"/>
      <c r="BJ60" s="56"/>
      <c r="BK60" s="56"/>
      <c r="BQ60" s="312">
        <v>43</v>
      </c>
      <c r="BR60" s="313" t="s">
        <v>77</v>
      </c>
      <c r="BS60" s="314">
        <v>0.42390843577787196</v>
      </c>
      <c r="BT60" s="314">
        <v>0.19923696481559983</v>
      </c>
      <c r="BU60" s="314">
        <v>0.37685459940652821</v>
      </c>
      <c r="BV60" s="315">
        <v>130.16</v>
      </c>
      <c r="BW60">
        <v>32.54</v>
      </c>
      <c r="BX60">
        <v>0.19678277697145621</v>
      </c>
      <c r="BY60" s="316">
        <v>0.78713110788582485</v>
      </c>
      <c r="BZ60" s="319">
        <f t="shared" si="0"/>
        <v>0.21286889211417515</v>
      </c>
    </row>
    <row r="61" spans="4:86">
      <c r="AU61" s="216">
        <v>0.42337002540220159</v>
      </c>
      <c r="AV61" s="216">
        <v>0.1384419983065199</v>
      </c>
      <c r="AW61" s="216">
        <v>0.43818797629127859</v>
      </c>
      <c r="AX61" s="216">
        <v>134.69333333333336</v>
      </c>
      <c r="AY61" s="140">
        <v>0.39468826798077178</v>
      </c>
      <c r="AZ61" s="243">
        <f t="shared" si="6"/>
        <v>0.60531173201922828</v>
      </c>
      <c r="BA61" s="241">
        <v>0.5677676230218065</v>
      </c>
      <c r="BB61" s="241">
        <v>0.36725178047191565</v>
      </c>
      <c r="BC61" s="140">
        <f>BA61*AZ61</f>
        <v>0.34367640327576998</v>
      </c>
      <c r="BD61" s="56"/>
      <c r="BE61" s="56"/>
      <c r="BF61" s="56"/>
      <c r="BG61" s="56"/>
      <c r="BH61" s="56"/>
      <c r="BI61" s="56"/>
      <c r="BJ61" s="56"/>
      <c r="BK61" s="56"/>
    </row>
    <row r="62" spans="4:86">
      <c r="BA62" s="56"/>
      <c r="BB62" s="56"/>
      <c r="BC62" s="56"/>
      <c r="BD62" s="56"/>
      <c r="BE62" s="56"/>
      <c r="BF62" s="56"/>
      <c r="BG62" s="56"/>
      <c r="BH62" s="56"/>
      <c r="BI62" s="56"/>
      <c r="BJ62" s="56"/>
      <c r="BK62" s="56"/>
    </row>
    <row r="63" spans="4:86">
      <c r="BA63" s="56"/>
      <c r="BB63" s="56"/>
      <c r="BC63" s="56"/>
      <c r="BD63" s="56"/>
      <c r="BE63" s="56"/>
      <c r="BF63" s="56"/>
      <c r="BG63" s="56"/>
      <c r="BH63" s="93"/>
      <c r="BI63" s="93"/>
      <c r="BJ63" s="93"/>
      <c r="BK63" s="56"/>
    </row>
    <row r="64" spans="4:86">
      <c r="BA64" s="93"/>
      <c r="BB64" s="240"/>
      <c r="BC64" s="240"/>
      <c r="BD64" s="240"/>
      <c r="BE64" s="240"/>
      <c r="BF64" s="83"/>
      <c r="BG64" s="174"/>
      <c r="BH64" s="83"/>
      <c r="BI64" s="83"/>
      <c r="BJ64" s="83"/>
      <c r="BK64" s="56"/>
    </row>
    <row r="65" spans="28:63">
      <c r="AT65" s="248">
        <v>134.66666666666669</v>
      </c>
      <c r="AU65" s="216">
        <v>0.42390843577787196</v>
      </c>
      <c r="AV65" s="216">
        <v>0.19923696481559983</v>
      </c>
      <c r="AW65" s="216">
        <v>0.37685459940652821</v>
      </c>
      <c r="AX65" s="216">
        <v>130.16</v>
      </c>
      <c r="AY65" s="140">
        <v>0.34720003867538729</v>
      </c>
      <c r="AZ65" s="243">
        <f t="shared" ref="AZ65:AZ78" si="7">1-AY65</f>
        <v>0.65279996132461271</v>
      </c>
      <c r="BA65" s="241">
        <v>0.52746843688890843</v>
      </c>
      <c r="BB65" s="241">
        <v>0.31976115336472843</v>
      </c>
      <c r="BC65" s="246">
        <f>BA65*AZ65</f>
        <v>0.34433137520103335</v>
      </c>
      <c r="BD65" s="240"/>
      <c r="BE65" s="240"/>
      <c r="BF65" s="83"/>
      <c r="BG65" s="174"/>
      <c r="BH65" s="83"/>
      <c r="BI65" s="83"/>
      <c r="BJ65" s="83"/>
      <c r="BK65" s="56"/>
    </row>
    <row r="66" spans="28:63">
      <c r="AT66" s="174"/>
      <c r="AU66" s="216">
        <v>0.45392646391284608</v>
      </c>
      <c r="AV66" s="216">
        <v>0.1693145710394916</v>
      </c>
      <c r="AW66" s="216">
        <v>0.37675896504766226</v>
      </c>
      <c r="AX66" s="216">
        <v>131.09333333333333</v>
      </c>
      <c r="AY66" s="140">
        <v>0.34482637033034785</v>
      </c>
      <c r="AZ66" s="243">
        <f t="shared" si="7"/>
        <v>0.6551736296696522</v>
      </c>
      <c r="BA66" s="241">
        <v>0.56253188891860884</v>
      </c>
      <c r="BB66" s="241">
        <v>0.31721412851042335</v>
      </c>
      <c r="BC66" s="246">
        <f>BA66*AZ66</f>
        <v>0.36855605946773057</v>
      </c>
      <c r="BD66" s="240"/>
      <c r="BE66" s="240"/>
      <c r="BF66" s="83"/>
      <c r="BG66" s="174"/>
      <c r="BH66" s="83"/>
      <c r="BI66" s="83"/>
      <c r="BJ66" s="83"/>
      <c r="BK66" s="56"/>
    </row>
    <row r="67" spans="28:63">
      <c r="AT67" s="174"/>
      <c r="AU67" s="219">
        <v>0.45372050816696918</v>
      </c>
      <c r="AV67" s="219">
        <v>0.19918330308529944</v>
      </c>
      <c r="AW67" s="219">
        <v>0.3470961887477314</v>
      </c>
      <c r="AX67" s="219">
        <v>131.49333333333334</v>
      </c>
      <c r="AY67" s="140">
        <v>0.32189526844113597</v>
      </c>
      <c r="AZ67" s="243">
        <f t="shared" si="7"/>
        <v>0.67810473155886397</v>
      </c>
      <c r="BA67" s="241">
        <v>0.54342120395432714</v>
      </c>
      <c r="BB67" s="241">
        <v>0.29428456752433269</v>
      </c>
      <c r="BC67" s="246">
        <f>BA67*AZ67</f>
        <v>0.36849648963084369</v>
      </c>
      <c r="BD67" s="240"/>
      <c r="BE67" s="240"/>
      <c r="BF67" s="83"/>
      <c r="BG67" s="174"/>
      <c r="BH67" s="83"/>
      <c r="BI67" s="83"/>
      <c r="BJ67" s="83"/>
      <c r="BK67" s="56"/>
    </row>
    <row r="68" spans="28:63">
      <c r="AT68" s="56"/>
      <c r="AU68" s="225">
        <v>0.48447478528958382</v>
      </c>
      <c r="AV68" s="225">
        <v>0.19951552521471044</v>
      </c>
      <c r="AW68" s="225">
        <v>0.31490861043822949</v>
      </c>
      <c r="AX68" s="225">
        <v>132.02666666666667</v>
      </c>
      <c r="AY68" s="140">
        <v>0.29454643422405358</v>
      </c>
      <c r="AZ68" s="243">
        <f t="shared" si="7"/>
        <v>0.70545356577594642</v>
      </c>
      <c r="BA68" s="241">
        <v>0.55856166329815216</v>
      </c>
      <c r="BB68" s="241">
        <v>0.26675413378132928</v>
      </c>
      <c r="BC68" s="246">
        <f>BA68*AZ68</f>
        <v>0.39403931707942502</v>
      </c>
      <c r="BD68" s="240"/>
      <c r="BE68" s="240"/>
      <c r="BF68" s="83"/>
      <c r="BG68" s="174"/>
      <c r="BH68" s="83"/>
      <c r="BI68" s="83"/>
      <c r="BJ68" s="83"/>
      <c r="BK68" s="56"/>
    </row>
    <row r="69" spans="28:63">
      <c r="AT69" s="253"/>
      <c r="AU69" s="216">
        <v>0.4533091568449682</v>
      </c>
      <c r="AV69" s="216">
        <v>0.13871260199456029</v>
      </c>
      <c r="AW69" s="216">
        <v>0.40797824116047138</v>
      </c>
      <c r="AX69" s="216">
        <v>132.48000000000002</v>
      </c>
      <c r="AY69" s="140">
        <v>0.36902466379497156</v>
      </c>
      <c r="AZ69" s="243">
        <f t="shared" si="7"/>
        <v>0.63097533620502844</v>
      </c>
      <c r="BA69" s="241">
        <v>0.58313792558127309</v>
      </c>
      <c r="BB69" s="241">
        <v>0.34141559127621851</v>
      </c>
      <c r="BC69" s="246">
        <f>BA69*AZ69</f>
        <v>0.36794564864754664</v>
      </c>
      <c r="BD69" s="240"/>
      <c r="BE69" s="240"/>
      <c r="BF69" s="83"/>
      <c r="BG69" s="174"/>
      <c r="BH69" s="83"/>
      <c r="BI69" s="83"/>
      <c r="BJ69" s="83"/>
      <c r="BK69" s="56"/>
    </row>
    <row r="70" spans="28:63">
      <c r="AU70" s="227">
        <v>0.61085972850678727</v>
      </c>
      <c r="AV70" s="227">
        <v>0</v>
      </c>
      <c r="AW70" s="227">
        <v>0.38914027149321262</v>
      </c>
      <c r="AX70" s="227">
        <v>133.14666666666668</v>
      </c>
      <c r="AY70" s="244">
        <v>0.34238319373504122</v>
      </c>
      <c r="AZ70" s="245">
        <f t="shared" si="7"/>
        <v>0.65761680626495878</v>
      </c>
      <c r="BA70" s="242">
        <v>0.75295277138654582</v>
      </c>
      <c r="BB70" s="242">
        <v>0.31386306587748147</v>
      </c>
      <c r="BC70" s="252" t="e">
        <f>#REF!</f>
        <v>#REF!</v>
      </c>
      <c r="BD70" s="240"/>
      <c r="BE70" s="240"/>
      <c r="BF70" s="83"/>
      <c r="BG70" s="174"/>
      <c r="BH70" s="83"/>
      <c r="BI70" s="83"/>
      <c r="BJ70" s="83"/>
      <c r="BK70" s="56"/>
    </row>
    <row r="71" spans="28:63">
      <c r="AT71" s="174"/>
      <c r="AU71" s="216">
        <v>0.48479506390480392</v>
      </c>
      <c r="AV71" s="216">
        <v>0.16923754958131337</v>
      </c>
      <c r="AW71" s="216">
        <v>0.34596738651388281</v>
      </c>
      <c r="AX71" s="216">
        <v>133.65333333333334</v>
      </c>
      <c r="AY71" s="140">
        <v>0.31864144623286517</v>
      </c>
      <c r="AZ71" s="243">
        <f t="shared" si="7"/>
        <v>0.68135855376713483</v>
      </c>
      <c r="BA71" s="241">
        <v>0.57763635880680286</v>
      </c>
      <c r="BB71" s="241">
        <v>0.29085126239152748</v>
      </c>
      <c r="BC71" s="246">
        <f>BA71*AZ71</f>
        <v>0.393577474039917</v>
      </c>
      <c r="BD71" s="240"/>
      <c r="BE71" s="240"/>
      <c r="BF71" s="83"/>
      <c r="BG71" s="174"/>
      <c r="BH71" s="83"/>
      <c r="BI71" s="83"/>
      <c r="BJ71" s="83"/>
      <c r="BK71" s="56"/>
    </row>
    <row r="72" spans="28:63" ht="15" thickBot="1">
      <c r="AU72" s="227">
        <v>0.59734513274336276</v>
      </c>
      <c r="AV72" s="227">
        <v>0</v>
      </c>
      <c r="AW72" s="227">
        <v>0.40265486725663713</v>
      </c>
      <c r="AX72" s="227">
        <v>133.81333333333333</v>
      </c>
      <c r="AY72" s="244">
        <v>0.35387325156289595</v>
      </c>
      <c r="AZ72" s="245">
        <f t="shared" si="7"/>
        <v>0.64612674843710405</v>
      </c>
      <c r="BA72" s="242">
        <v>0.74938810217856811</v>
      </c>
      <c r="BB72" s="242">
        <v>0.32543108998437797</v>
      </c>
      <c r="BC72" s="247">
        <v>0.48677921271080815</v>
      </c>
      <c r="BD72" s="240"/>
      <c r="BE72" s="240"/>
      <c r="BF72" s="83"/>
      <c r="BG72" s="174"/>
      <c r="BH72" s="83"/>
      <c r="BI72" s="83"/>
      <c r="BJ72" s="83"/>
      <c r="BK72" s="56"/>
    </row>
    <row r="73" spans="28:63" ht="15" thickBot="1">
      <c r="AU73" s="222">
        <v>0.42337002540220159</v>
      </c>
      <c r="AV73" s="222">
        <v>0.1384419983065199</v>
      </c>
      <c r="AW73" s="222">
        <v>0.43818797629127859</v>
      </c>
      <c r="AX73" s="222">
        <v>134.69333333333336</v>
      </c>
      <c r="AY73" s="140">
        <v>0.39468826798077178</v>
      </c>
      <c r="AZ73" s="243">
        <f t="shared" si="7"/>
        <v>0.60531173201922828</v>
      </c>
      <c r="BA73" s="241">
        <v>0.5677676230218065</v>
      </c>
      <c r="BB73" s="241">
        <v>0.36725178047191565</v>
      </c>
      <c r="BC73" s="246">
        <f>BA73*AZ73</f>
        <v>0.34367640327576998</v>
      </c>
      <c r="BD73" s="56"/>
      <c r="BE73" s="56"/>
      <c r="BF73" s="56"/>
      <c r="BG73" s="56"/>
      <c r="BH73" s="56"/>
      <c r="BI73" s="56"/>
      <c r="BJ73" s="56"/>
      <c r="BK73" s="56"/>
    </row>
    <row r="74" spans="28:63">
      <c r="AT74" s="12"/>
      <c r="AU74" s="227">
        <v>0.56657223796033995</v>
      </c>
      <c r="AV74" s="227">
        <v>0</v>
      </c>
      <c r="AW74" s="227">
        <v>0.43342776203966005</v>
      </c>
      <c r="AX74" s="227">
        <v>135.22666666666669</v>
      </c>
      <c r="AY74" s="244">
        <v>0.38003625275209435</v>
      </c>
      <c r="AZ74" s="245">
        <f t="shared" si="7"/>
        <v>0.61996374724790559</v>
      </c>
      <c r="BA74" s="242">
        <v>0.74077833774877022</v>
      </c>
      <c r="BB74" s="242">
        <v>0.35177161802683821</v>
      </c>
      <c r="BC74" s="247">
        <v>0.46167408483593442</v>
      </c>
      <c r="BD74" s="56"/>
      <c r="BE74" s="56"/>
      <c r="BF74" s="56"/>
      <c r="BG74" s="56"/>
      <c r="BH74" s="56"/>
      <c r="BI74" s="56"/>
      <c r="BJ74" s="56"/>
      <c r="BK74" s="56"/>
    </row>
    <row r="75" spans="28:63" ht="15" thickBot="1">
      <c r="AT75" s="126"/>
      <c r="AU75" s="219">
        <v>0.42390843577787196</v>
      </c>
      <c r="AV75" s="219">
        <v>0.16913946587537093</v>
      </c>
      <c r="AW75" s="219">
        <v>0.40695209834675711</v>
      </c>
      <c r="AX75" s="219">
        <v>135.62666666666669</v>
      </c>
      <c r="AY75" s="140">
        <v>0.37048319634007487</v>
      </c>
      <c r="AZ75" s="243">
        <f t="shared" si="7"/>
        <v>0.62951680365992513</v>
      </c>
      <c r="BA75" s="241">
        <v>0.54680540434311609</v>
      </c>
      <c r="BB75" s="241">
        <v>0.34304397478921717</v>
      </c>
      <c r="BC75" s="140">
        <f>BA75*AZ75</f>
        <v>0.34422319036605137</v>
      </c>
      <c r="BD75" s="56"/>
      <c r="BE75" s="56"/>
      <c r="BF75" s="56"/>
      <c r="BG75" s="56"/>
      <c r="BH75" s="56"/>
      <c r="BI75" s="56"/>
      <c r="BJ75" s="56"/>
      <c r="BK75" s="56"/>
    </row>
    <row r="76" spans="28:63" ht="15" thickBot="1">
      <c r="AU76" s="234">
        <v>0.5524861878453039</v>
      </c>
      <c r="AV76" s="234">
        <v>0</v>
      </c>
      <c r="AW76" s="234">
        <v>0.44751381215469616</v>
      </c>
      <c r="AX76" s="234">
        <v>135.76000000000002</v>
      </c>
      <c r="AY76" s="244">
        <v>0.39201216204690681</v>
      </c>
      <c r="AZ76" s="245">
        <f t="shared" si="7"/>
        <v>0.60798783795309319</v>
      </c>
      <c r="BA76" s="242">
        <v>0.73659006348867362</v>
      </c>
      <c r="BB76" s="242">
        <v>0.36382878719076445</v>
      </c>
      <c r="BC76" s="244">
        <v>0.45018264244560424</v>
      </c>
      <c r="BD76" s="56"/>
      <c r="BE76" s="56"/>
      <c r="BF76" s="56"/>
      <c r="BG76" s="56"/>
      <c r="BH76" s="56"/>
      <c r="BI76" s="56"/>
      <c r="BJ76" s="56"/>
      <c r="BK76" s="56"/>
    </row>
    <row r="77" spans="28:63">
      <c r="AU77" s="225">
        <v>0.48447478528958382</v>
      </c>
      <c r="AV77" s="225">
        <v>0.13895617705351243</v>
      </c>
      <c r="AW77" s="225">
        <v>0.3765690376569038</v>
      </c>
      <c r="AX77" s="225">
        <v>136.08000000000001</v>
      </c>
      <c r="AY77" s="140">
        <v>0.34233921511046433</v>
      </c>
      <c r="AZ77" s="243">
        <f t="shared" si="7"/>
        <v>0.65766078488953572</v>
      </c>
      <c r="BA77" s="241">
        <v>0.5978902457411267</v>
      </c>
      <c r="BB77" s="241">
        <v>0.3145504720942503</v>
      </c>
      <c r="BC77" s="140">
        <f>BA77*AZ77</f>
        <v>0.39320896829190677</v>
      </c>
      <c r="BD77" s="56"/>
      <c r="BE77" s="56"/>
      <c r="BF77" s="56"/>
      <c r="BG77" s="56"/>
      <c r="BH77" s="56"/>
      <c r="BI77" s="56"/>
      <c r="BJ77" s="56"/>
      <c r="BK77" s="56"/>
    </row>
    <row r="78" spans="28:63">
      <c r="AU78" s="227">
        <v>0.5818965517241379</v>
      </c>
      <c r="AV78" s="227">
        <v>0</v>
      </c>
      <c r="AW78" s="227">
        <v>0.41810344827586204</v>
      </c>
      <c r="AX78" s="227">
        <v>136.66666666666666</v>
      </c>
      <c r="AY78" s="244">
        <v>0.36700757734423034</v>
      </c>
      <c r="AZ78" s="245">
        <f t="shared" si="7"/>
        <v>0.63299242265576972</v>
      </c>
      <c r="BA78" s="242">
        <v>0.74515480021471081</v>
      </c>
      <c r="BB78" s="242">
        <v>0.33865453823070957</v>
      </c>
      <c r="BC78" s="244">
        <v>0.4741758754322335</v>
      </c>
      <c r="BD78" s="56"/>
      <c r="BE78" s="56"/>
      <c r="BF78" s="56"/>
      <c r="BG78" s="56"/>
      <c r="BH78" s="56"/>
      <c r="BI78" s="56"/>
      <c r="BJ78" s="56"/>
      <c r="BK78" s="56"/>
    </row>
    <row r="79" spans="28:63" ht="15" thickBot="1">
      <c r="BA79" s="56"/>
      <c r="BB79" s="56"/>
      <c r="BC79" s="56"/>
      <c r="BD79" s="56"/>
      <c r="BE79" s="56"/>
      <c r="BF79" s="56"/>
      <c r="BG79" s="56"/>
      <c r="BH79" s="56"/>
      <c r="BI79" s="56"/>
      <c r="BJ79" s="56"/>
      <c r="BK79" s="56"/>
    </row>
    <row r="80" spans="28:63" ht="15" thickBot="1">
      <c r="AB80" s="173" t="e">
        <f>#REF!</f>
        <v>#REF!</v>
      </c>
      <c r="AD80" s="89" t="s">
        <v>42</v>
      </c>
      <c r="AE80" s="16" t="s">
        <v>28</v>
      </c>
      <c r="AF80" s="12"/>
      <c r="AH80" s="10" t="s">
        <v>20</v>
      </c>
      <c r="AI80" s="34" t="s">
        <v>33</v>
      </c>
      <c r="AJ80" s="34" t="s">
        <v>34</v>
      </c>
      <c r="AL80" s="234">
        <v>0.5818965517241379</v>
      </c>
      <c r="AM80" s="234">
        <v>0</v>
      </c>
      <c r="AN80" s="234">
        <v>0.41810344827586204</v>
      </c>
      <c r="AP80" s="234">
        <v>136.66666666666666</v>
      </c>
      <c r="AR80" s="141">
        <v>0.36700757734423034</v>
      </c>
      <c r="BA80" s="56"/>
      <c r="BB80" s="56"/>
      <c r="BC80" s="56"/>
      <c r="BD80" s="56"/>
      <c r="BE80" s="56"/>
      <c r="BF80" s="56"/>
      <c r="BG80" s="56"/>
      <c r="BH80" s="56"/>
      <c r="BI80" s="56"/>
      <c r="BJ80" s="56"/>
      <c r="BK80" s="56"/>
    </row>
    <row r="81" spans="7:63">
      <c r="J81" s="89" t="s">
        <v>42</v>
      </c>
      <c r="K81" s="16" t="s">
        <v>28</v>
      </c>
      <c r="L81" s="12"/>
      <c r="M81" s="10" t="s">
        <v>20</v>
      </c>
      <c r="N81" s="34" t="s">
        <v>33</v>
      </c>
      <c r="O81" s="34" t="s">
        <v>34</v>
      </c>
      <c r="Q81" s="219">
        <v>0.45372050816696918</v>
      </c>
      <c r="R81" s="219">
        <v>0.19918330308529944</v>
      </c>
      <c r="S81" s="219">
        <v>0.3470961887477314</v>
      </c>
      <c r="U81" s="219">
        <v>131.49333333333334</v>
      </c>
      <c r="AD81" s="16" t="s">
        <v>31</v>
      </c>
      <c r="AE81" s="143">
        <v>0.74515480021471081</v>
      </c>
      <c r="AF81" s="12"/>
      <c r="AH81" s="16">
        <v>2</v>
      </c>
      <c r="AI81" s="137">
        <v>470</v>
      </c>
      <c r="AJ81" s="138">
        <v>0</v>
      </c>
      <c r="BA81" s="56"/>
      <c r="BB81" s="56"/>
      <c r="BC81" s="56"/>
      <c r="BD81" s="56"/>
      <c r="BE81" s="56"/>
      <c r="BF81" s="56"/>
      <c r="BG81" s="56"/>
      <c r="BH81" s="56"/>
      <c r="BI81" s="56"/>
      <c r="BJ81" s="56"/>
      <c r="BK81" s="56"/>
    </row>
    <row r="82" spans="7:63">
      <c r="G82" s="141">
        <v>0.32189526844113597</v>
      </c>
      <c r="H82" s="173"/>
      <c r="J82" s="16" t="s">
        <v>31</v>
      </c>
      <c r="K82" s="143">
        <v>0.54342120395432714</v>
      </c>
      <c r="L82" s="12"/>
      <c r="M82" s="16"/>
      <c r="N82" s="137">
        <v>470</v>
      </c>
      <c r="O82" s="138">
        <v>0</v>
      </c>
      <c r="AD82" s="16" t="s">
        <v>32</v>
      </c>
      <c r="AE82" s="143">
        <v>0.33865453823070957</v>
      </c>
      <c r="AF82" s="12"/>
      <c r="BA82" s="56"/>
      <c r="BB82" s="56"/>
      <c r="BC82" s="56"/>
      <c r="BD82" s="56"/>
      <c r="BE82" s="56"/>
      <c r="BF82" s="56"/>
      <c r="BG82" s="56"/>
      <c r="BH82" s="56"/>
      <c r="BI82" s="56"/>
      <c r="BJ82" s="56"/>
      <c r="BK82" s="56"/>
    </row>
    <row r="83" spans="7:63">
      <c r="J83" s="16" t="s">
        <v>32</v>
      </c>
      <c r="K83" s="143">
        <v>0.29428456752433269</v>
      </c>
      <c r="L83" s="12"/>
      <c r="BA83" s="56"/>
      <c r="BB83" s="56"/>
      <c r="BC83" s="56"/>
      <c r="BD83" s="56"/>
      <c r="BE83" s="56"/>
      <c r="BF83" s="56"/>
      <c r="BG83" s="56"/>
      <c r="BH83" s="56"/>
      <c r="BI83" s="56"/>
      <c r="BJ83" s="56"/>
      <c r="BK83" s="56"/>
    </row>
    <row r="84" spans="7:63">
      <c r="BA84" s="56"/>
      <c r="BB84" s="56"/>
      <c r="BC84" s="56"/>
      <c r="BD84" s="56"/>
      <c r="BE84" s="56"/>
      <c r="BF84" s="56"/>
      <c r="BG84" s="56"/>
      <c r="BH84" s="56"/>
      <c r="BI84" s="56"/>
      <c r="BJ84" s="56"/>
      <c r="BK84" s="56"/>
    </row>
    <row r="85" spans="7:63">
      <c r="BA85" s="56"/>
      <c r="BB85" s="56"/>
      <c r="BC85" s="56"/>
      <c r="BD85" s="56"/>
      <c r="BE85" s="56"/>
      <c r="BF85" s="56"/>
      <c r="BG85" s="56"/>
      <c r="BH85" s="56"/>
      <c r="BI85" s="56"/>
      <c r="BJ85" s="56"/>
      <c r="BK85" s="56"/>
    </row>
    <row r="86" spans="7:63">
      <c r="BA86" s="56"/>
      <c r="BB86" s="56"/>
      <c r="BC86" s="56"/>
      <c r="BD86" s="56"/>
      <c r="BE86" s="56"/>
      <c r="BF86" s="56"/>
      <c r="BG86" s="56"/>
      <c r="BH86" s="56"/>
      <c r="BI86" s="56"/>
      <c r="BJ86" s="56"/>
      <c r="BK86" s="56"/>
    </row>
    <row r="87" spans="7:63">
      <c r="BA87" s="56"/>
      <c r="BB87" s="56"/>
      <c r="BC87" s="56"/>
      <c r="BD87" s="56"/>
      <c r="BE87" s="56"/>
      <c r="BF87" s="56"/>
      <c r="BG87" s="56"/>
      <c r="BH87" s="56"/>
      <c r="BI87" s="56"/>
      <c r="BJ87" s="56"/>
      <c r="BK87" s="56"/>
    </row>
    <row r="88" spans="7:63">
      <c r="BA88" s="56"/>
      <c r="BB88" s="56"/>
      <c r="BC88" s="56"/>
      <c r="BD88" s="56"/>
      <c r="BE88" s="56"/>
      <c r="BF88" s="56"/>
      <c r="BG88" s="56"/>
      <c r="BH88" s="56"/>
      <c r="BI88" s="56"/>
      <c r="BJ88" s="56"/>
      <c r="BK88" s="56"/>
    </row>
    <row r="89" spans="7:63">
      <c r="BA89" s="56"/>
      <c r="BB89" s="56"/>
      <c r="BC89" s="56"/>
      <c r="BD89" s="56"/>
      <c r="BE89" s="56"/>
      <c r="BF89" s="56"/>
      <c r="BG89" s="56"/>
      <c r="BH89" s="56"/>
      <c r="BI89" s="56"/>
      <c r="BJ89" s="56"/>
      <c r="BK89" s="56"/>
    </row>
    <row r="90" spans="7:63">
      <c r="BA90" s="56"/>
      <c r="BB90" s="56"/>
      <c r="BC90" s="56"/>
      <c r="BD90" s="56"/>
      <c r="BE90" s="56"/>
      <c r="BF90" s="56"/>
      <c r="BG90" s="56"/>
      <c r="BH90" s="56"/>
      <c r="BI90" s="56"/>
      <c r="BJ90" s="56"/>
      <c r="BK90" s="56"/>
    </row>
    <row r="91" spans="7:63">
      <c r="BA91" s="56"/>
      <c r="BB91" s="56"/>
      <c r="BC91" s="56"/>
      <c r="BD91" s="56"/>
      <c r="BE91" s="56"/>
      <c r="BF91" s="56"/>
      <c r="BG91" s="56"/>
      <c r="BH91" s="56"/>
      <c r="BI91" s="56"/>
      <c r="BJ91" s="56"/>
      <c r="BK91" s="56"/>
    </row>
    <row r="92" spans="7:63">
      <c r="BA92" s="56"/>
      <c r="BB92" s="56"/>
      <c r="BC92" s="56"/>
      <c r="BD92" s="56"/>
      <c r="BE92" s="56"/>
      <c r="BF92" s="56"/>
      <c r="BG92" s="56"/>
      <c r="BH92" s="56"/>
      <c r="BI92" s="56"/>
      <c r="BJ92" s="56"/>
      <c r="BK92" s="56"/>
    </row>
    <row r="93" spans="7:63">
      <c r="BA93" s="56"/>
      <c r="BB93" s="56"/>
      <c r="BC93" s="56"/>
      <c r="BD93" s="56"/>
      <c r="BE93" s="56"/>
      <c r="BF93" s="56"/>
      <c r="BG93" s="56"/>
      <c r="BH93" s="56"/>
      <c r="BI93" s="56"/>
      <c r="BJ93" s="56"/>
      <c r="BK93" s="56"/>
    </row>
    <row r="94" spans="7:63">
      <c r="BA94" s="56"/>
      <c r="BB94" s="56"/>
      <c r="BC94" s="56"/>
      <c r="BD94" s="56"/>
      <c r="BE94" s="56"/>
      <c r="BF94" s="56"/>
      <c r="BG94" s="56"/>
      <c r="BH94" s="56"/>
      <c r="BI94" s="56"/>
      <c r="BJ94" s="56"/>
      <c r="BK94" s="56"/>
    </row>
    <row r="95" spans="7:63">
      <c r="BA95" s="56"/>
      <c r="BB95" s="56"/>
      <c r="BC95" s="56"/>
      <c r="BD95" s="56"/>
      <c r="BE95" s="56"/>
      <c r="BF95" s="56"/>
      <c r="BG95" s="56"/>
      <c r="BH95" s="56"/>
      <c r="BI95" s="56"/>
      <c r="BJ95" s="56"/>
      <c r="BK95" s="56"/>
    </row>
    <row r="96" spans="7:63">
      <c r="BA96" s="56"/>
      <c r="BB96" s="56"/>
      <c r="BC96" s="56"/>
      <c r="BD96" s="56"/>
      <c r="BE96" s="56"/>
      <c r="BF96" s="56"/>
      <c r="BG96" s="56"/>
      <c r="BH96" s="56"/>
      <c r="BI96" s="56"/>
      <c r="BJ96" s="56"/>
      <c r="BK96" s="56"/>
    </row>
    <row r="97" spans="7:63">
      <c r="BA97" s="56"/>
      <c r="BB97" s="56"/>
      <c r="BC97" s="56"/>
      <c r="BD97" s="56"/>
      <c r="BE97" s="56"/>
      <c r="BF97" s="56"/>
      <c r="BG97" s="56"/>
      <c r="BH97" s="56"/>
      <c r="BI97" s="56"/>
      <c r="BJ97" s="56"/>
      <c r="BK97" s="56"/>
    </row>
    <row r="98" spans="7:63">
      <c r="BA98" s="56"/>
      <c r="BB98" s="56"/>
      <c r="BC98" s="56"/>
      <c r="BD98" s="56"/>
      <c r="BE98" s="56"/>
      <c r="BF98" s="56"/>
      <c r="BG98" s="56"/>
      <c r="BH98" s="56"/>
      <c r="BI98" s="56"/>
      <c r="BJ98" s="56"/>
      <c r="BK98" s="56"/>
    </row>
    <row r="99" spans="7:63">
      <c r="BA99" s="56"/>
      <c r="BB99" s="56"/>
      <c r="BC99" s="56"/>
      <c r="BD99" s="56"/>
      <c r="BE99" s="56"/>
      <c r="BF99" s="56"/>
      <c r="BG99" s="56"/>
      <c r="BH99" s="56"/>
      <c r="BI99" s="56"/>
      <c r="BJ99" s="56"/>
      <c r="BK99" s="56"/>
    </row>
    <row r="100" spans="7:63">
      <c r="BA100" s="56"/>
      <c r="BB100" s="56"/>
      <c r="BC100" s="56"/>
      <c r="BD100" s="56"/>
      <c r="BE100" s="56"/>
      <c r="BF100" s="56"/>
      <c r="BG100" s="56"/>
      <c r="BH100" s="56"/>
      <c r="BI100" s="56"/>
      <c r="BJ100" s="56"/>
      <c r="BK100" s="56"/>
    </row>
    <row r="101" spans="7:63">
      <c r="BA101" s="56"/>
      <c r="BB101" s="56"/>
      <c r="BC101" s="56"/>
      <c r="BD101" s="56"/>
      <c r="BE101" s="56"/>
      <c r="BF101" s="56"/>
      <c r="BG101" s="56"/>
      <c r="BH101" s="56"/>
      <c r="BI101" s="56"/>
      <c r="BJ101" s="56"/>
      <c r="BK101" s="56"/>
    </row>
    <row r="102" spans="7:63">
      <c r="BA102" s="56"/>
      <c r="BB102" s="56"/>
      <c r="BC102" s="56"/>
      <c r="BD102" s="56"/>
      <c r="BE102" s="56"/>
      <c r="BF102" s="56"/>
      <c r="BG102" s="56"/>
      <c r="BH102" s="56"/>
      <c r="BI102" s="56"/>
      <c r="BJ102" s="56"/>
      <c r="BK102" s="56"/>
    </row>
    <row r="103" spans="7:63">
      <c r="BA103" s="56"/>
      <c r="BB103" s="56"/>
      <c r="BC103" s="56"/>
      <c r="BD103" s="56"/>
      <c r="BE103" s="56"/>
      <c r="BF103" s="56"/>
      <c r="BG103" s="56"/>
      <c r="BH103" s="56"/>
      <c r="BI103" s="56"/>
      <c r="BJ103" s="56"/>
      <c r="BK103" s="56"/>
    </row>
    <row r="104" spans="7:63">
      <c r="BA104" s="56"/>
      <c r="BB104" s="56"/>
      <c r="BC104" s="56"/>
      <c r="BD104" s="56"/>
      <c r="BE104" s="56"/>
      <c r="BF104" s="56"/>
      <c r="BG104" s="56"/>
      <c r="BH104" s="56"/>
      <c r="BI104" s="56"/>
      <c r="BJ104" s="56"/>
      <c r="BK104" s="56"/>
    </row>
    <row r="105" spans="7:63">
      <c r="BA105" s="56"/>
      <c r="BB105" s="56"/>
      <c r="BC105" s="56"/>
      <c r="BD105" s="56"/>
      <c r="BE105" s="56"/>
      <c r="BF105" s="56"/>
      <c r="BG105" s="56"/>
      <c r="BH105" s="56"/>
      <c r="BI105" s="56"/>
      <c r="BJ105" s="56"/>
      <c r="BK105" s="56"/>
    </row>
    <row r="106" spans="7:63">
      <c r="BA106" s="56"/>
      <c r="BB106" s="56"/>
      <c r="BC106" s="56"/>
      <c r="BD106" s="56"/>
      <c r="BE106" s="56"/>
      <c r="BF106" s="56"/>
      <c r="BG106" s="56"/>
      <c r="BH106" s="56"/>
      <c r="BI106" s="56"/>
      <c r="BJ106" s="56"/>
      <c r="BK106" s="56"/>
    </row>
    <row r="107" spans="7:63">
      <c r="BA107" s="56"/>
      <c r="BB107" s="56"/>
      <c r="BC107" s="56"/>
      <c r="BD107" s="56"/>
      <c r="BE107" s="56"/>
      <c r="BF107" s="56"/>
      <c r="BG107" s="56"/>
      <c r="BH107" s="56"/>
      <c r="BI107" s="56"/>
      <c r="BJ107" s="56"/>
      <c r="BK107" s="56"/>
    </row>
    <row r="108" spans="7:63">
      <c r="G108" s="141">
        <v>0.34482637033034785</v>
      </c>
      <c r="H108" s="173"/>
      <c r="J108" s="89" t="s">
        <v>42</v>
      </c>
      <c r="K108" s="16" t="s">
        <v>28</v>
      </c>
      <c r="L108" s="12"/>
      <c r="M108" s="10" t="s">
        <v>20</v>
      </c>
      <c r="N108" s="34" t="s">
        <v>33</v>
      </c>
      <c r="O108" s="34" t="s">
        <v>34</v>
      </c>
      <c r="Q108" s="225">
        <v>0.45392646391284608</v>
      </c>
      <c r="R108" s="225">
        <v>0.1693145710394916</v>
      </c>
      <c r="S108" s="225">
        <v>0.37675896504766226</v>
      </c>
      <c r="U108" s="225">
        <v>131.09333333333333</v>
      </c>
      <c r="AB108" s="173" t="e">
        <f>#REF!</f>
        <v>#REF!</v>
      </c>
      <c r="AD108" s="89" t="s">
        <v>42</v>
      </c>
      <c r="AE108" s="16" t="s">
        <v>28</v>
      </c>
      <c r="AF108" s="12"/>
      <c r="AH108" s="10" t="s">
        <v>20</v>
      </c>
      <c r="AI108" s="34" t="s">
        <v>33</v>
      </c>
      <c r="AJ108" s="34" t="s">
        <v>34</v>
      </c>
      <c r="AL108" s="237">
        <v>0.56657223796033995</v>
      </c>
      <c r="AM108" s="237">
        <v>0</v>
      </c>
      <c r="AN108" s="237">
        <v>0.43342776203966005</v>
      </c>
      <c r="AP108" s="237">
        <v>135.22666666666669</v>
      </c>
      <c r="AR108" s="141">
        <v>0.38003625275209435</v>
      </c>
      <c r="BA108" s="56"/>
      <c r="BB108" s="56"/>
      <c r="BC108" s="56"/>
      <c r="BD108" s="56"/>
      <c r="BE108" s="56"/>
      <c r="BF108" s="56"/>
      <c r="BG108" s="56"/>
      <c r="BH108" s="56"/>
      <c r="BI108" s="56"/>
      <c r="BJ108" s="56"/>
      <c r="BK108" s="56"/>
    </row>
    <row r="109" spans="7:63">
      <c r="J109" s="16" t="s">
        <v>31</v>
      </c>
      <c r="K109" s="143">
        <v>0.56253188891860884</v>
      </c>
      <c r="L109" s="12"/>
      <c r="M109" s="16">
        <v>2</v>
      </c>
      <c r="N109" s="137">
        <v>470</v>
      </c>
      <c r="O109" s="138">
        <v>0</v>
      </c>
      <c r="AD109" s="16" t="s">
        <v>31</v>
      </c>
      <c r="AE109" s="143">
        <v>0.74077833774877022</v>
      </c>
      <c r="AF109" s="12"/>
      <c r="AH109" s="16">
        <v>2</v>
      </c>
      <c r="AI109" s="137">
        <v>470</v>
      </c>
      <c r="AJ109" s="138">
        <v>0</v>
      </c>
      <c r="BA109" s="56"/>
      <c r="BB109" s="56"/>
      <c r="BC109" s="56"/>
      <c r="BD109" s="56"/>
      <c r="BE109" s="56"/>
      <c r="BF109" s="56"/>
      <c r="BG109" s="56"/>
      <c r="BH109" s="56"/>
      <c r="BI109" s="56"/>
      <c r="BJ109" s="56"/>
      <c r="BK109" s="56"/>
    </row>
    <row r="110" spans="7:63">
      <c r="J110" s="16" t="s">
        <v>32</v>
      </c>
      <c r="K110" s="143">
        <v>0.31721412851042335</v>
      </c>
      <c r="L110" s="12"/>
      <c r="AD110" s="16" t="s">
        <v>32</v>
      </c>
      <c r="AE110" s="143">
        <v>0.35177161802683821</v>
      </c>
      <c r="AF110" s="12"/>
      <c r="BA110" s="56"/>
      <c r="BB110" s="56"/>
      <c r="BC110" s="56"/>
      <c r="BD110" s="56"/>
      <c r="BE110" s="56"/>
      <c r="BF110" s="56"/>
      <c r="BG110" s="56"/>
      <c r="BH110" s="56"/>
      <c r="BI110" s="56"/>
      <c r="BJ110" s="56"/>
      <c r="BK110" s="56"/>
    </row>
    <row r="111" spans="7:63">
      <c r="BA111" s="56"/>
      <c r="BB111" s="56"/>
      <c r="BC111" s="56"/>
      <c r="BD111" s="56"/>
      <c r="BE111" s="56"/>
      <c r="BF111" s="56"/>
      <c r="BG111" s="56"/>
      <c r="BH111" s="56"/>
      <c r="BI111" s="56"/>
      <c r="BJ111" s="56"/>
      <c r="BK111" s="56"/>
    </row>
    <row r="112" spans="7:63">
      <c r="BA112" s="56"/>
      <c r="BB112" s="56"/>
      <c r="BC112" s="56"/>
      <c r="BD112" s="56"/>
      <c r="BE112" s="56"/>
      <c r="BF112" s="56"/>
      <c r="BG112" s="56"/>
      <c r="BH112" s="56"/>
      <c r="BI112" s="56"/>
      <c r="BJ112" s="56"/>
      <c r="BK112" s="56"/>
    </row>
    <row r="113" spans="53:63">
      <c r="BA113" s="56"/>
      <c r="BB113" s="56"/>
      <c r="BC113" s="56"/>
      <c r="BD113" s="56"/>
      <c r="BE113" s="56"/>
      <c r="BF113" s="56"/>
      <c r="BG113" s="56"/>
      <c r="BH113" s="56"/>
      <c r="BI113" s="56"/>
      <c r="BJ113" s="56"/>
      <c r="BK113" s="56"/>
    </row>
    <row r="114" spans="53:63">
      <c r="BA114" s="56"/>
      <c r="BB114" s="56"/>
      <c r="BC114" s="56"/>
      <c r="BD114" s="56"/>
      <c r="BE114" s="56"/>
      <c r="BF114" s="56"/>
      <c r="BG114" s="56"/>
      <c r="BH114" s="56"/>
      <c r="BI114" s="56"/>
      <c r="BJ114" s="56"/>
      <c r="BK114" s="56"/>
    </row>
    <row r="115" spans="53:63">
      <c r="BA115" s="56"/>
      <c r="BB115" s="56"/>
      <c r="BC115" s="56"/>
      <c r="BD115" s="56"/>
      <c r="BE115" s="56"/>
      <c r="BF115" s="56"/>
      <c r="BG115" s="56"/>
      <c r="BH115" s="56"/>
      <c r="BI115" s="56"/>
      <c r="BJ115" s="56"/>
      <c r="BK115" s="56"/>
    </row>
    <row r="116" spans="53:63">
      <c r="BA116" s="56"/>
      <c r="BB116" s="56"/>
      <c r="BC116" s="56"/>
      <c r="BD116" s="56"/>
      <c r="BE116" s="56"/>
      <c r="BF116" s="56"/>
      <c r="BG116" s="56"/>
      <c r="BH116" s="56"/>
      <c r="BI116" s="56"/>
      <c r="BJ116" s="56"/>
      <c r="BK116" s="56"/>
    </row>
    <row r="117" spans="53:63">
      <c r="BA117" s="56"/>
      <c r="BB117" s="56"/>
      <c r="BC117" s="56"/>
      <c r="BD117" s="56"/>
      <c r="BE117" s="56"/>
      <c r="BF117" s="56"/>
      <c r="BG117" s="56"/>
      <c r="BH117" s="56"/>
      <c r="BI117" s="56"/>
      <c r="BJ117" s="56"/>
      <c r="BK117" s="56"/>
    </row>
    <row r="118" spans="53:63">
      <c r="BA118" s="56"/>
      <c r="BB118" s="56"/>
      <c r="BC118" s="56"/>
      <c r="BD118" s="56"/>
      <c r="BE118" s="56"/>
      <c r="BF118" s="56"/>
      <c r="BG118" s="56"/>
      <c r="BH118" s="56"/>
      <c r="BI118" s="56"/>
      <c r="BJ118" s="56"/>
      <c r="BK118" s="56"/>
    </row>
    <row r="119" spans="53:63">
      <c r="BA119" s="56"/>
      <c r="BB119" s="56"/>
      <c r="BC119" s="56"/>
      <c r="BD119" s="56"/>
      <c r="BE119" s="56"/>
      <c r="BF119" s="56"/>
      <c r="BG119" s="56"/>
      <c r="BH119" s="56"/>
      <c r="BI119" s="56"/>
      <c r="BJ119" s="56"/>
      <c r="BK119" s="56"/>
    </row>
    <row r="120" spans="53:63">
      <c r="BA120" s="56"/>
      <c r="BB120" s="56"/>
      <c r="BC120" s="56"/>
      <c r="BD120" s="56"/>
      <c r="BE120" s="56"/>
      <c r="BF120" s="56"/>
      <c r="BG120" s="56"/>
      <c r="BH120" s="56"/>
      <c r="BI120" s="56"/>
      <c r="BJ120" s="56"/>
      <c r="BK120" s="56"/>
    </row>
    <row r="121" spans="53:63">
      <c r="BA121" s="56"/>
      <c r="BB121" s="56"/>
      <c r="BC121" s="56"/>
      <c r="BD121" s="56"/>
      <c r="BE121" s="56"/>
      <c r="BF121" s="56"/>
      <c r="BG121" s="56"/>
      <c r="BH121" s="56"/>
      <c r="BI121" s="56"/>
      <c r="BJ121" s="56"/>
      <c r="BK121" s="56"/>
    </row>
    <row r="122" spans="53:63">
      <c r="BA122" s="56"/>
      <c r="BB122" s="56"/>
      <c r="BC122" s="56"/>
      <c r="BD122" s="56"/>
      <c r="BE122" s="56"/>
      <c r="BF122" s="56"/>
      <c r="BG122" s="56"/>
      <c r="BH122" s="56"/>
      <c r="BI122" s="56"/>
      <c r="BJ122" s="56"/>
      <c r="BK122" s="56"/>
    </row>
    <row r="123" spans="53:63">
      <c r="BA123" s="56"/>
      <c r="BB123" s="56"/>
      <c r="BC123" s="56"/>
      <c r="BD123" s="56"/>
      <c r="BE123" s="56"/>
      <c r="BF123" s="56"/>
      <c r="BG123" s="56"/>
      <c r="BH123" s="56"/>
      <c r="BI123" s="56"/>
      <c r="BJ123" s="56"/>
      <c r="BK123" s="56"/>
    </row>
    <row r="124" spans="53:63">
      <c r="BA124" s="56"/>
      <c r="BB124" s="56"/>
      <c r="BC124" s="56"/>
      <c r="BD124" s="56"/>
      <c r="BE124" s="56"/>
      <c r="BF124" s="56"/>
      <c r="BG124" s="56"/>
      <c r="BH124" s="56"/>
      <c r="BI124" s="56"/>
      <c r="BJ124" s="56"/>
      <c r="BK124" s="56"/>
    </row>
    <row r="125" spans="53:63">
      <c r="BA125" s="56"/>
      <c r="BB125" s="56"/>
      <c r="BC125" s="56"/>
      <c r="BD125" s="56"/>
      <c r="BE125" s="56"/>
      <c r="BF125" s="56"/>
      <c r="BG125" s="56"/>
      <c r="BH125" s="56"/>
      <c r="BI125" s="56"/>
      <c r="BJ125" s="56"/>
      <c r="BK125" s="56"/>
    </row>
    <row r="126" spans="53:63">
      <c r="BA126" s="56"/>
      <c r="BB126" s="56"/>
      <c r="BC126" s="56"/>
      <c r="BD126" s="56"/>
      <c r="BE126" s="56"/>
      <c r="BF126" s="56"/>
      <c r="BG126" s="56"/>
      <c r="BH126" s="56"/>
      <c r="BI126" s="56"/>
      <c r="BJ126" s="56"/>
      <c r="BK126" s="56"/>
    </row>
    <row r="127" spans="53:63">
      <c r="BA127" s="56"/>
      <c r="BB127" s="56"/>
      <c r="BC127" s="56"/>
      <c r="BD127" s="56"/>
      <c r="BE127" s="56"/>
      <c r="BF127" s="56"/>
      <c r="BG127" s="56"/>
      <c r="BH127" s="56"/>
      <c r="BI127" s="56"/>
      <c r="BJ127" s="56"/>
      <c r="BK127" s="56"/>
    </row>
    <row r="128" spans="53:63">
      <c r="BA128" s="56"/>
      <c r="BB128" s="56"/>
      <c r="BC128" s="56"/>
      <c r="BD128" s="56"/>
      <c r="BE128" s="56"/>
      <c r="BF128" s="56"/>
      <c r="BG128" s="56"/>
      <c r="BH128" s="56"/>
      <c r="BI128" s="56"/>
      <c r="BJ128" s="56"/>
      <c r="BK128" s="56"/>
    </row>
    <row r="129" spans="7:63">
      <c r="BA129" s="56"/>
      <c r="BB129" s="56"/>
      <c r="BC129" s="56"/>
      <c r="BD129" s="56"/>
      <c r="BE129" s="56"/>
      <c r="BF129" s="56"/>
      <c r="BG129" s="56"/>
      <c r="BH129" s="56"/>
      <c r="BI129" s="56"/>
      <c r="BJ129" s="56"/>
      <c r="BK129" s="56"/>
    </row>
    <row r="130" spans="7:63">
      <c r="BA130" s="56"/>
      <c r="BB130" s="56"/>
      <c r="BC130" s="56"/>
      <c r="BD130" s="56"/>
      <c r="BE130" s="56"/>
      <c r="BF130" s="56"/>
      <c r="BG130" s="56"/>
      <c r="BH130" s="56"/>
      <c r="BI130" s="56"/>
      <c r="BJ130" s="56"/>
      <c r="BK130" s="56"/>
    </row>
    <row r="131" spans="7:63">
      <c r="BA131" s="56"/>
      <c r="BB131" s="56"/>
      <c r="BC131" s="56"/>
      <c r="BD131" s="56"/>
      <c r="BE131" s="56"/>
      <c r="BF131" s="56"/>
      <c r="BG131" s="56"/>
      <c r="BH131" s="56"/>
      <c r="BI131" s="56"/>
      <c r="BJ131" s="56"/>
      <c r="BK131" s="56"/>
    </row>
    <row r="132" spans="7:63">
      <c r="AU132" s="240"/>
      <c r="AV132" s="240"/>
      <c r="AW132" s="240"/>
      <c r="BA132" s="56"/>
      <c r="BB132" s="56"/>
      <c r="BC132" s="56"/>
      <c r="BD132" s="56"/>
      <c r="BE132" s="56"/>
      <c r="BF132" s="56"/>
      <c r="BG132" s="56"/>
      <c r="BH132" s="56"/>
      <c r="BI132" s="56"/>
      <c r="BJ132" s="56"/>
      <c r="BK132" s="56"/>
    </row>
    <row r="133" spans="7:63">
      <c r="AU133" s="240"/>
      <c r="AV133" s="240"/>
      <c r="AW133" s="240"/>
      <c r="BA133" s="56"/>
      <c r="BB133" s="56"/>
      <c r="BC133" s="56"/>
      <c r="BD133" s="56"/>
      <c r="BE133" s="56"/>
      <c r="BF133" s="56"/>
      <c r="BG133" s="56"/>
      <c r="BH133" s="56"/>
      <c r="BI133" s="56"/>
      <c r="BJ133" s="56"/>
      <c r="BK133" s="56"/>
    </row>
    <row r="134" spans="7:63">
      <c r="G134" s="141">
        <v>0.34720003867538729</v>
      </c>
      <c r="BA134" s="56"/>
      <c r="BB134" s="56"/>
      <c r="BC134" s="56"/>
      <c r="BD134" s="56"/>
      <c r="BE134" s="56"/>
      <c r="BF134" s="56"/>
      <c r="BG134" s="56"/>
      <c r="BH134" s="56"/>
      <c r="BI134" s="56"/>
      <c r="BJ134" s="56"/>
      <c r="BK134" s="56"/>
    </row>
    <row r="135" spans="7:63">
      <c r="H135" s="173"/>
      <c r="J135" s="89" t="s">
        <v>42</v>
      </c>
      <c r="K135" s="16" t="s">
        <v>28</v>
      </c>
      <c r="L135" s="12"/>
      <c r="M135" s="10" t="s">
        <v>20</v>
      </c>
      <c r="N135" s="34" t="s">
        <v>33</v>
      </c>
      <c r="O135" s="34" t="s">
        <v>34</v>
      </c>
      <c r="Q135" s="216">
        <v>0.42390843577787196</v>
      </c>
      <c r="R135" s="216">
        <v>0.19923696481559983</v>
      </c>
      <c r="S135" s="216">
        <v>0.37685459940652821</v>
      </c>
      <c r="U135" s="216">
        <v>130.16</v>
      </c>
      <c r="AB135" s="173" t="e">
        <f>#REF!</f>
        <v>#REF!</v>
      </c>
      <c r="AD135" s="89" t="s">
        <v>42</v>
      </c>
      <c r="AE135" s="16" t="s">
        <v>28</v>
      </c>
      <c r="AF135" s="12"/>
      <c r="AH135" s="10" t="s">
        <v>20</v>
      </c>
      <c r="AI135" s="34" t="s">
        <v>33</v>
      </c>
      <c r="AJ135" s="34" t="s">
        <v>34</v>
      </c>
      <c r="AL135" s="227">
        <v>0.5524861878453039</v>
      </c>
      <c r="AM135" s="227">
        <v>0</v>
      </c>
      <c r="AN135" s="227">
        <v>0.44751381215469616</v>
      </c>
      <c r="AP135" s="227">
        <v>135.76000000000002</v>
      </c>
      <c r="AR135" s="141">
        <v>0.39201216204690681</v>
      </c>
      <c r="AU135" s="240"/>
      <c r="AV135" s="240"/>
      <c r="AW135" s="240"/>
      <c r="BA135" s="56"/>
      <c r="BB135" s="56"/>
      <c r="BC135" s="56"/>
      <c r="BD135" s="56"/>
      <c r="BE135" s="56"/>
      <c r="BF135" s="56"/>
      <c r="BG135" s="56"/>
      <c r="BH135" s="56"/>
      <c r="BI135" s="56"/>
      <c r="BJ135" s="56"/>
      <c r="BK135" s="56"/>
    </row>
    <row r="136" spans="7:63">
      <c r="J136" s="16" t="s">
        <v>31</v>
      </c>
      <c r="K136" s="143">
        <v>0.52746843688890843</v>
      </c>
      <c r="L136" s="12"/>
      <c r="M136" s="16"/>
      <c r="N136" s="137">
        <v>470</v>
      </c>
      <c r="O136" s="138">
        <v>0</v>
      </c>
      <c r="AD136" s="16" t="s">
        <v>31</v>
      </c>
      <c r="AE136" s="143">
        <v>0.73659006348867362</v>
      </c>
      <c r="AF136" s="12"/>
      <c r="AH136" s="16">
        <v>2</v>
      </c>
      <c r="AI136" s="137">
        <v>470</v>
      </c>
      <c r="AJ136" s="138">
        <v>0</v>
      </c>
      <c r="AU136" s="240"/>
      <c r="AV136" s="240"/>
      <c r="AW136" s="240"/>
      <c r="BA136" s="56"/>
      <c r="BB136" s="56"/>
      <c r="BC136" s="56"/>
      <c r="BD136" s="56"/>
      <c r="BE136" s="56"/>
      <c r="BF136" s="56"/>
      <c r="BG136" s="56"/>
      <c r="BH136" s="56"/>
      <c r="BI136" s="56"/>
      <c r="BJ136" s="56"/>
      <c r="BK136" s="56"/>
    </row>
    <row r="137" spans="7:63">
      <c r="J137" s="16" t="s">
        <v>32</v>
      </c>
      <c r="K137" s="143">
        <v>0.31976115336472843</v>
      </c>
      <c r="L137" s="12"/>
      <c r="AD137" s="16" t="s">
        <v>32</v>
      </c>
      <c r="AE137" s="143">
        <v>0.36382878719076445</v>
      </c>
      <c r="AF137" s="12"/>
      <c r="AU137" s="56"/>
      <c r="AV137" s="56"/>
      <c r="AW137" s="56"/>
      <c r="BA137" s="56"/>
      <c r="BB137" s="56"/>
      <c r="BC137" s="56"/>
      <c r="BD137" s="56"/>
      <c r="BE137" s="56"/>
      <c r="BF137" s="56"/>
      <c r="BG137" s="56"/>
      <c r="BH137" s="56"/>
      <c r="BI137" s="56"/>
      <c r="BJ137" s="56"/>
      <c r="BK137" s="56"/>
    </row>
    <row r="138" spans="7:63">
      <c r="BA138" s="56"/>
      <c r="BB138" s="56"/>
      <c r="BC138" s="56"/>
      <c r="BD138" s="56"/>
      <c r="BE138" s="56"/>
      <c r="BF138" s="56"/>
      <c r="BG138" s="56"/>
      <c r="BH138" s="56"/>
      <c r="BI138" s="56"/>
      <c r="BJ138" s="56"/>
      <c r="BK138" s="56"/>
    </row>
    <row r="139" spans="7:63">
      <c r="BA139" s="56"/>
      <c r="BB139" s="56"/>
      <c r="BC139" s="56"/>
      <c r="BD139" s="56"/>
      <c r="BE139" s="56"/>
      <c r="BF139" s="56"/>
      <c r="BG139" s="56"/>
      <c r="BH139" s="56"/>
      <c r="BI139" s="56"/>
      <c r="BJ139" s="56"/>
      <c r="BK139" s="56"/>
    </row>
    <row r="140" spans="7:63">
      <c r="BA140" s="56"/>
      <c r="BB140" s="56"/>
      <c r="BC140" s="56"/>
      <c r="BD140" s="56"/>
      <c r="BE140" s="56"/>
      <c r="BF140" s="56"/>
      <c r="BG140" s="56"/>
      <c r="BH140" s="56"/>
      <c r="BI140" s="56"/>
      <c r="BJ140" s="56"/>
      <c r="BK140" s="56"/>
    </row>
    <row r="160" spans="6:6">
      <c r="F160" s="141">
        <v>0.36902466379497156</v>
      </c>
    </row>
    <row r="162" spans="8:21">
      <c r="H162" s="173"/>
      <c r="J162" s="89" t="s">
        <v>42</v>
      </c>
      <c r="K162" s="16" t="s">
        <v>28</v>
      </c>
      <c r="L162" s="12"/>
      <c r="M162" s="10" t="s">
        <v>20</v>
      </c>
      <c r="N162" s="34" t="s">
        <v>33</v>
      </c>
      <c r="O162" s="34" t="s">
        <v>34</v>
      </c>
      <c r="Q162" s="216">
        <v>0.4533091568449682</v>
      </c>
      <c r="R162" s="216">
        <v>0.13871260199456029</v>
      </c>
      <c r="S162" s="216">
        <v>0.40797824116047138</v>
      </c>
      <c r="U162" s="216">
        <v>132.48000000000002</v>
      </c>
    </row>
    <row r="163" spans="8:21">
      <c r="J163" s="16" t="s">
        <v>31</v>
      </c>
      <c r="K163" s="143">
        <v>0.58313792558127309</v>
      </c>
      <c r="L163" s="12"/>
      <c r="M163" s="16">
        <v>2</v>
      </c>
      <c r="N163" s="137">
        <v>470</v>
      </c>
      <c r="O163" s="138">
        <v>0</v>
      </c>
    </row>
    <row r="164" spans="8:21">
      <c r="J164" s="16" t="s">
        <v>32</v>
      </c>
      <c r="K164" s="143">
        <v>0.34141559127621851</v>
      </c>
      <c r="L164" s="12"/>
    </row>
    <row r="187" spans="5:21">
      <c r="E187" s="126"/>
      <c r="F187" s="126"/>
      <c r="G187" s="126"/>
    </row>
    <row r="188" spans="5:21">
      <c r="E188" s="83"/>
      <c r="F188" s="56"/>
      <c r="G188" s="83"/>
    </row>
    <row r="189" spans="5:21">
      <c r="E189" s="83"/>
      <c r="F189" s="174"/>
      <c r="G189" s="56"/>
      <c r="H189" s="173"/>
      <c r="J189" s="89" t="s">
        <v>42</v>
      </c>
      <c r="K189" s="16" t="s">
        <v>28</v>
      </c>
      <c r="L189" s="12"/>
      <c r="M189" s="10" t="s">
        <v>20</v>
      </c>
      <c r="N189" s="34" t="s">
        <v>33</v>
      </c>
      <c r="O189" s="34" t="s">
        <v>34</v>
      </c>
      <c r="Q189" s="216">
        <v>0.42390843577787196</v>
      </c>
      <c r="R189" s="216">
        <v>0.16913946587537093</v>
      </c>
      <c r="S189" s="216">
        <v>0.40695209834675711</v>
      </c>
      <c r="U189" s="216">
        <v>135.62666666666669</v>
      </c>
    </row>
    <row r="190" spans="5:21">
      <c r="E190" s="56"/>
      <c r="F190" s="174"/>
      <c r="G190" s="56"/>
      <c r="J190" s="16" t="s">
        <v>31</v>
      </c>
      <c r="K190" s="143">
        <v>0.54680540434311609</v>
      </c>
      <c r="L190" s="12"/>
      <c r="M190" s="16">
        <v>2</v>
      </c>
      <c r="N190" s="137">
        <v>470</v>
      </c>
      <c r="O190" s="138">
        <v>0</v>
      </c>
    </row>
    <row r="191" spans="5:21">
      <c r="F191" s="173"/>
      <c r="J191" s="16" t="s">
        <v>32</v>
      </c>
      <c r="K191" s="143">
        <v>0.34304397478921717</v>
      </c>
      <c r="L191" s="12"/>
    </row>
    <row r="212" spans="3:21">
      <c r="C212" s="56"/>
      <c r="D212" s="56"/>
      <c r="E212" s="56"/>
      <c r="F212" s="56"/>
      <c r="G212" s="56"/>
    </row>
    <row r="213" spans="3:21">
      <c r="C213" s="56"/>
      <c r="D213" s="83"/>
      <c r="E213" s="56"/>
      <c r="F213" s="56"/>
      <c r="G213" s="56"/>
    </row>
    <row r="214" spans="3:21">
      <c r="C214" s="56"/>
      <c r="D214" s="83"/>
      <c r="E214" s="56"/>
      <c r="F214" s="56"/>
      <c r="G214" s="56"/>
    </row>
    <row r="215" spans="3:21">
      <c r="C215" s="56"/>
      <c r="D215" s="56"/>
      <c r="E215" s="56"/>
      <c r="F215" s="56"/>
      <c r="G215" s="56"/>
    </row>
    <row r="216" spans="3:21">
      <c r="C216" s="56"/>
      <c r="D216" s="56"/>
      <c r="E216" s="56"/>
      <c r="F216" s="56"/>
      <c r="G216" s="83"/>
      <c r="H216" s="142"/>
      <c r="J216" s="89" t="s">
        <v>42</v>
      </c>
      <c r="K216" s="16" t="s">
        <v>28</v>
      </c>
      <c r="L216" s="12"/>
      <c r="M216" s="10" t="s">
        <v>20</v>
      </c>
      <c r="N216" s="34" t="s">
        <v>33</v>
      </c>
      <c r="O216" s="34" t="s">
        <v>34</v>
      </c>
      <c r="Q216" s="216">
        <v>0.42337002540220159</v>
      </c>
      <c r="R216" s="216">
        <v>0.1384419983065199</v>
      </c>
      <c r="S216" s="216">
        <v>0.43818797629127859</v>
      </c>
      <c r="U216" s="216">
        <v>134.69333333333336</v>
      </c>
    </row>
    <row r="217" spans="3:21">
      <c r="C217" s="56"/>
      <c r="D217" s="56"/>
      <c r="E217" s="56"/>
      <c r="F217" s="56"/>
      <c r="G217" s="56"/>
      <c r="J217" s="16" t="s">
        <v>31</v>
      </c>
      <c r="K217" s="143">
        <v>0.5677676230218065</v>
      </c>
      <c r="L217" s="12"/>
      <c r="M217" s="16">
        <v>2</v>
      </c>
      <c r="N217" s="137">
        <v>470</v>
      </c>
      <c r="O217" s="138">
        <v>0</v>
      </c>
    </row>
    <row r="218" spans="3:21">
      <c r="J218" s="16" t="s">
        <v>32</v>
      </c>
      <c r="K218" s="143">
        <v>0.36725178047191565</v>
      </c>
      <c r="L218" s="12"/>
    </row>
    <row r="236" spans="26:30">
      <c r="Z236" s="126"/>
      <c r="AA236" s="56"/>
      <c r="AB236" s="56"/>
      <c r="AC236" s="56"/>
      <c r="AD236" s="56"/>
    </row>
    <row r="237" spans="26:30">
      <c r="Z237" s="126"/>
      <c r="AA237" s="240"/>
      <c r="AB237" s="240"/>
      <c r="AC237" s="240"/>
      <c r="AD237" s="56"/>
    </row>
    <row r="238" spans="26:30">
      <c r="Z238" s="126"/>
      <c r="AA238" s="240"/>
      <c r="AB238" s="240"/>
      <c r="AC238" s="240"/>
      <c r="AD238" s="56"/>
    </row>
    <row r="239" spans="26:30">
      <c r="Z239" s="126"/>
      <c r="AA239" s="240"/>
      <c r="AB239" s="240"/>
      <c r="AC239" s="240"/>
      <c r="AD239" s="56"/>
    </row>
    <row r="240" spans="26:30">
      <c r="Z240" s="126"/>
      <c r="AA240" s="240"/>
      <c r="AB240" s="240"/>
      <c r="AC240" s="240"/>
      <c r="AD240" s="56"/>
    </row>
    <row r="241" spans="7:30">
      <c r="Z241" s="126"/>
      <c r="AA241" s="240"/>
      <c r="AB241" s="240"/>
      <c r="AC241" s="240"/>
      <c r="AD241" s="56"/>
    </row>
    <row r="242" spans="7:30" ht="15" thickBot="1">
      <c r="G242" s="141">
        <v>0.34233921511046433</v>
      </c>
      <c r="Z242" s="126"/>
      <c r="AA242" s="240"/>
      <c r="AB242" s="240"/>
      <c r="AC242" s="240"/>
      <c r="AD242" s="56"/>
    </row>
    <row r="243" spans="7:30" ht="15" thickBot="1">
      <c r="H243" s="173"/>
      <c r="J243" s="89" t="s">
        <v>42</v>
      </c>
      <c r="K243" s="16" t="s">
        <v>28</v>
      </c>
      <c r="L243" s="12"/>
      <c r="M243" s="10" t="s">
        <v>20</v>
      </c>
      <c r="N243" s="34" t="s">
        <v>33</v>
      </c>
      <c r="O243" s="34" t="s">
        <v>34</v>
      </c>
      <c r="Q243" s="222">
        <v>0.48447478528958382</v>
      </c>
      <c r="R243" s="222">
        <v>0.13895617705351243</v>
      </c>
      <c r="S243" s="222">
        <v>0.3765690376569038</v>
      </c>
      <c r="U243" s="222">
        <v>136.08000000000001</v>
      </c>
      <c r="Z243" s="126"/>
      <c r="AA243" s="240"/>
      <c r="AB243" s="240"/>
      <c r="AC243" s="240"/>
      <c r="AD243" s="240"/>
    </row>
    <row r="244" spans="7:30">
      <c r="J244" s="16" t="s">
        <v>31</v>
      </c>
      <c r="K244" s="143">
        <v>0.5978902457411267</v>
      </c>
      <c r="L244" s="12"/>
      <c r="M244" s="16">
        <v>2</v>
      </c>
      <c r="N244" s="137">
        <v>470</v>
      </c>
      <c r="O244" s="138">
        <v>0</v>
      </c>
      <c r="Z244" s="126"/>
      <c r="AA244" s="240"/>
      <c r="AB244" s="240"/>
      <c r="AC244" s="240"/>
      <c r="AD244" s="56"/>
    </row>
    <row r="245" spans="7:30">
      <c r="J245" s="16" t="s">
        <v>32</v>
      </c>
      <c r="K245" s="143">
        <v>0.3145504720942503</v>
      </c>
      <c r="L245" s="12"/>
      <c r="Z245" s="126"/>
      <c r="AA245" s="240"/>
      <c r="AB245" s="240"/>
      <c r="AC245" s="240"/>
      <c r="AD245" s="56"/>
    </row>
    <row r="246" spans="7:30">
      <c r="Z246" s="126"/>
      <c r="AA246" s="240"/>
      <c r="AB246" s="240"/>
      <c r="AC246" s="240"/>
      <c r="AD246" s="56"/>
    </row>
    <row r="247" spans="7:30">
      <c r="Z247" s="126"/>
      <c r="AA247" s="126"/>
      <c r="AB247" s="126"/>
      <c r="AC247" s="126"/>
      <c r="AD247" s="126"/>
    </row>
  </sheetData>
  <sortState xmlns:xlrd2="http://schemas.microsoft.com/office/spreadsheetml/2017/richdata2" ref="AT65:BC78">
    <sortCondition ref="AX65:AX78"/>
  </sortState>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BP60"/>
  <sheetViews>
    <sheetView workbookViewId="0">
      <selection activeCell="BN42" sqref="BN42"/>
    </sheetView>
  </sheetViews>
  <sheetFormatPr defaultRowHeight="14.5"/>
  <cols>
    <col min="2" max="2" width="10.453125" customWidth="1"/>
    <col min="10" max="10" width="9.26953125" bestFit="1" customWidth="1"/>
    <col min="12" max="12" width="11.453125" customWidth="1"/>
    <col min="14" max="14" width="11.26953125" customWidth="1"/>
  </cols>
  <sheetData>
    <row r="2" spans="2:68" ht="15" thickBot="1">
      <c r="AB2" s="12"/>
    </row>
    <row r="3" spans="2:68" ht="15.5">
      <c r="C3" s="266"/>
      <c r="D3" s="266" t="s">
        <v>82</v>
      </c>
      <c r="E3" s="266"/>
      <c r="AD3" s="352"/>
      <c r="AE3" s="353"/>
      <c r="AF3" s="353"/>
      <c r="AG3" s="353"/>
      <c r="AH3" s="353"/>
      <c r="AI3" s="353"/>
      <c r="AJ3" s="353"/>
      <c r="AK3" s="353"/>
      <c r="AL3" s="353"/>
      <c r="AM3" s="353"/>
      <c r="AN3" s="353"/>
      <c r="AO3" s="353"/>
      <c r="AP3" s="353"/>
      <c r="AQ3" s="353"/>
      <c r="AR3" s="353"/>
      <c r="AS3" s="353"/>
      <c r="AT3" s="353"/>
      <c r="AU3" s="353"/>
      <c r="AV3" s="353"/>
      <c r="AW3" s="362"/>
      <c r="AX3" s="353"/>
      <c r="AY3" s="353"/>
      <c r="AZ3" s="353"/>
      <c r="BA3" s="353"/>
      <c r="BB3" s="353"/>
      <c r="BC3" s="353"/>
      <c r="BD3" s="353"/>
      <c r="BE3" s="353"/>
      <c r="BF3" s="353"/>
      <c r="BG3" s="353"/>
      <c r="BH3" s="353"/>
      <c r="BI3" s="353"/>
      <c r="BJ3" s="353"/>
      <c r="BK3" s="353"/>
      <c r="BL3" s="353"/>
      <c r="BM3" s="353"/>
      <c r="BN3" s="353"/>
      <c r="BO3" s="353"/>
      <c r="BP3" s="354"/>
    </row>
    <row r="4" spans="2:68" ht="21">
      <c r="D4" t="s">
        <v>83</v>
      </c>
      <c r="AD4" s="355"/>
      <c r="AE4" s="12"/>
      <c r="AF4" s="346" t="s">
        <v>175</v>
      </c>
      <c r="AG4" s="346"/>
      <c r="AH4" s="347"/>
      <c r="AI4" s="347"/>
      <c r="AJ4" s="347"/>
      <c r="AK4" s="347"/>
      <c r="AL4" s="347"/>
      <c r="AM4" s="12"/>
      <c r="AN4" s="348" t="s">
        <v>176</v>
      </c>
      <c r="AO4" s="348"/>
      <c r="AP4" s="349"/>
      <c r="AQ4" s="12"/>
      <c r="AR4" s="12"/>
      <c r="AS4" s="12"/>
      <c r="AT4" s="12"/>
      <c r="AU4" s="12"/>
      <c r="AV4" s="12"/>
      <c r="AW4" s="363"/>
      <c r="AX4" s="12"/>
      <c r="AY4" s="12"/>
      <c r="AZ4" s="12"/>
      <c r="BA4" s="12"/>
      <c r="BB4" s="12"/>
      <c r="BC4" s="348" t="s">
        <v>177</v>
      </c>
      <c r="BD4" s="348"/>
      <c r="BE4" s="349"/>
      <c r="BF4" s="12"/>
      <c r="BG4" s="12"/>
      <c r="BH4" s="12"/>
      <c r="BI4" s="12"/>
      <c r="BJ4" s="12"/>
      <c r="BK4" s="12"/>
      <c r="BL4" s="12"/>
      <c r="BM4" s="12"/>
      <c r="BN4" s="12"/>
      <c r="BO4" s="12"/>
      <c r="BP4" s="356"/>
    </row>
    <row r="5" spans="2:68" ht="19.5" customHeight="1">
      <c r="D5" t="s">
        <v>84</v>
      </c>
      <c r="AD5" s="355"/>
      <c r="AE5" s="12"/>
      <c r="AF5" s="12"/>
      <c r="AG5" s="12"/>
      <c r="AH5" s="12"/>
      <c r="AI5" s="12"/>
      <c r="AJ5" s="350" t="s">
        <v>152</v>
      </c>
      <c r="AK5" s="12"/>
      <c r="AL5" s="12"/>
      <c r="AM5" s="12"/>
      <c r="AN5" s="12"/>
      <c r="AO5" s="12"/>
      <c r="AP5" s="12"/>
      <c r="AQ5" s="12"/>
      <c r="AR5" s="12"/>
      <c r="AS5" s="12"/>
      <c r="AT5" s="12"/>
      <c r="AU5" s="12"/>
      <c r="AV5" s="12"/>
      <c r="AW5" s="363"/>
      <c r="AX5" s="12"/>
      <c r="AY5" s="12"/>
      <c r="AZ5" s="12"/>
      <c r="BA5" s="12"/>
      <c r="BB5" s="12"/>
      <c r="BC5" s="12"/>
      <c r="BD5" s="12"/>
      <c r="BE5" s="12"/>
      <c r="BF5" s="12"/>
      <c r="BG5" s="12"/>
      <c r="BH5" s="12"/>
      <c r="BI5" s="12"/>
      <c r="BJ5" s="12"/>
      <c r="BK5" s="12"/>
      <c r="BL5" s="12"/>
      <c r="BM5" s="12"/>
      <c r="BN5" s="12"/>
      <c r="BO5" s="12"/>
      <c r="BP5" s="356"/>
    </row>
    <row r="6" spans="2:68">
      <c r="D6" t="s">
        <v>85</v>
      </c>
      <c r="AD6" s="355"/>
      <c r="AE6" s="12"/>
      <c r="AF6" s="12"/>
      <c r="AG6" s="351" t="s">
        <v>147</v>
      </c>
      <c r="AH6" s="12"/>
      <c r="AI6" s="12"/>
      <c r="AJ6" s="12"/>
      <c r="AK6" s="12"/>
      <c r="AL6" s="12"/>
      <c r="AM6" s="12"/>
      <c r="AN6" s="9" t="s">
        <v>172</v>
      </c>
      <c r="AO6" s="30"/>
      <c r="AP6" s="30"/>
      <c r="AQ6" s="20"/>
      <c r="AR6" s="12"/>
      <c r="AS6" s="12"/>
      <c r="AT6" s="12"/>
      <c r="AU6" s="12"/>
      <c r="AV6" s="12"/>
      <c r="AW6" s="363"/>
      <c r="AX6" s="12"/>
      <c r="AY6" s="12"/>
      <c r="AZ6" s="12"/>
      <c r="BA6" s="12"/>
      <c r="BB6" s="12"/>
      <c r="BC6" s="12"/>
      <c r="BD6" s="12"/>
      <c r="BE6" s="12"/>
      <c r="BF6" s="12"/>
      <c r="BG6" s="12"/>
      <c r="BH6" s="12"/>
      <c r="BI6" s="12"/>
      <c r="BJ6" s="12"/>
      <c r="BK6" s="12"/>
      <c r="BL6" s="12"/>
      <c r="BM6" s="12"/>
      <c r="BN6" s="12"/>
      <c r="BO6" s="12"/>
      <c r="BP6" s="356"/>
    </row>
    <row r="7" spans="2:68">
      <c r="D7" t="s">
        <v>86</v>
      </c>
      <c r="AD7" s="355"/>
      <c r="AE7" s="12"/>
      <c r="AF7" s="12"/>
      <c r="AG7" s="12" t="s">
        <v>150</v>
      </c>
      <c r="AH7" s="12" t="s">
        <v>151</v>
      </c>
      <c r="AI7" s="12"/>
      <c r="AJ7" s="12"/>
      <c r="AK7" s="12" t="s">
        <v>153</v>
      </c>
      <c r="AL7" s="12"/>
      <c r="AM7" s="12"/>
      <c r="AN7" s="55" t="s">
        <v>165</v>
      </c>
      <c r="AO7" s="12"/>
      <c r="AP7" s="133"/>
      <c r="AQ7" s="12" t="s">
        <v>173</v>
      </c>
      <c r="AR7" s="12"/>
      <c r="AS7" s="12"/>
      <c r="AT7" s="12"/>
      <c r="AU7" s="12"/>
      <c r="AV7" s="12"/>
      <c r="AW7" s="363"/>
      <c r="AX7" s="12"/>
      <c r="AY7" s="12"/>
      <c r="AZ7" s="12"/>
      <c r="BA7" s="12"/>
      <c r="BB7" s="12"/>
      <c r="BC7" s="12"/>
      <c r="BD7" s="12"/>
      <c r="BE7" s="12"/>
      <c r="BF7" s="12"/>
      <c r="BG7" s="12"/>
      <c r="BH7" s="12"/>
      <c r="BI7" s="12"/>
      <c r="BJ7" s="12"/>
      <c r="BK7" s="12"/>
      <c r="BL7" s="12"/>
      <c r="BM7" s="12"/>
      <c r="BN7" s="12"/>
      <c r="BO7" s="12"/>
      <c r="BP7" s="356"/>
    </row>
    <row r="8" spans="2:68">
      <c r="D8" t="s">
        <v>87</v>
      </c>
      <c r="AD8" s="357"/>
      <c r="AE8" s="12"/>
      <c r="AF8" s="12"/>
      <c r="AG8" s="351" t="s">
        <v>149</v>
      </c>
      <c r="AH8" s="12"/>
      <c r="AI8" s="12"/>
      <c r="AJ8" s="12"/>
      <c r="AK8" s="12"/>
      <c r="AL8" s="12"/>
      <c r="AM8" s="12"/>
      <c r="AN8" s="98" t="s">
        <v>166</v>
      </c>
      <c r="AO8" s="132"/>
      <c r="AP8" s="134"/>
      <c r="AQ8" s="12" t="s">
        <v>174</v>
      </c>
      <c r="AR8" s="12"/>
      <c r="AS8" s="12"/>
      <c r="AT8" s="12"/>
      <c r="AU8" s="12"/>
      <c r="AV8" s="12"/>
      <c r="AW8" s="363"/>
      <c r="AX8" s="12"/>
      <c r="AY8" s="12"/>
      <c r="AZ8" s="12"/>
      <c r="BA8" s="12"/>
      <c r="BB8" s="12"/>
      <c r="BC8" s="12"/>
      <c r="BD8" s="12"/>
      <c r="BE8" s="12"/>
      <c r="BF8" s="12"/>
      <c r="BG8" s="12"/>
      <c r="BH8" s="12"/>
      <c r="BI8" s="12"/>
      <c r="BJ8" s="12"/>
      <c r="BK8" s="12"/>
      <c r="BL8" s="12"/>
      <c r="BM8" s="12"/>
      <c r="BN8" s="12"/>
      <c r="BO8" s="12"/>
      <c r="BP8" s="356"/>
    </row>
    <row r="9" spans="2:68">
      <c r="D9" t="s">
        <v>134</v>
      </c>
      <c r="AD9" s="355"/>
      <c r="AE9" s="12"/>
      <c r="AF9" s="12"/>
      <c r="AG9" s="12"/>
      <c r="AH9" s="12"/>
      <c r="AI9" s="12"/>
      <c r="AJ9" s="12"/>
      <c r="AK9" s="12"/>
      <c r="AL9" s="12"/>
      <c r="AM9" s="12"/>
      <c r="AN9" s="12"/>
      <c r="AO9" s="12"/>
      <c r="AP9" s="12"/>
      <c r="AQ9" s="12"/>
      <c r="AR9" s="12"/>
      <c r="AS9" s="12"/>
      <c r="AT9" s="12"/>
      <c r="AU9" s="12"/>
      <c r="AV9" s="12"/>
      <c r="AW9" s="363"/>
      <c r="AX9" s="12"/>
      <c r="AY9" s="12"/>
      <c r="AZ9" s="12"/>
      <c r="BA9" s="12"/>
      <c r="BB9" s="12"/>
      <c r="BC9" s="12"/>
      <c r="BD9" s="12"/>
      <c r="BE9" s="12"/>
      <c r="BF9" s="12"/>
      <c r="BG9" s="12"/>
      <c r="BH9" s="12"/>
      <c r="BI9" s="12"/>
      <c r="BJ9" s="12"/>
      <c r="BK9" s="12"/>
      <c r="BL9" s="12"/>
      <c r="BM9" s="12"/>
      <c r="BN9" s="12"/>
      <c r="BO9" s="12"/>
      <c r="BP9" s="356"/>
    </row>
    <row r="10" spans="2:68">
      <c r="D10" t="s">
        <v>88</v>
      </c>
      <c r="AD10" s="355"/>
      <c r="AE10" s="12"/>
      <c r="AF10" s="12"/>
      <c r="AG10" s="12"/>
      <c r="AH10" s="12"/>
      <c r="AI10" s="12"/>
      <c r="AJ10" s="12"/>
      <c r="AK10" s="12"/>
      <c r="AL10" s="12"/>
      <c r="AM10" s="12"/>
      <c r="AN10" s="12"/>
      <c r="AO10" s="12"/>
      <c r="AP10" s="12"/>
      <c r="AQ10" s="12"/>
      <c r="AR10" s="12"/>
      <c r="AS10" s="12"/>
      <c r="AT10" s="12"/>
      <c r="AU10" s="12"/>
      <c r="AV10" s="12"/>
      <c r="AW10" s="363"/>
      <c r="AX10" s="12"/>
      <c r="AY10" s="12"/>
      <c r="AZ10" s="12"/>
      <c r="BA10" s="12"/>
      <c r="BB10" s="12"/>
      <c r="BC10" s="12"/>
      <c r="BD10" s="12"/>
      <c r="BE10" s="12"/>
      <c r="BF10" s="12"/>
      <c r="BG10" s="12"/>
      <c r="BH10" s="12"/>
      <c r="BI10" s="12"/>
      <c r="BJ10" s="12"/>
      <c r="BK10" s="12"/>
      <c r="BL10" s="12"/>
      <c r="BM10" s="12"/>
      <c r="BN10" s="12"/>
      <c r="BO10" s="12"/>
      <c r="BP10" s="356"/>
    </row>
    <row r="11" spans="2:68">
      <c r="D11" t="s">
        <v>89</v>
      </c>
      <c r="AD11" s="355"/>
      <c r="AE11" s="16" t="s">
        <v>163</v>
      </c>
      <c r="AF11" s="16" t="s">
        <v>164</v>
      </c>
      <c r="AG11" s="345" t="s">
        <v>162</v>
      </c>
      <c r="AH11" s="345" t="s">
        <v>126</v>
      </c>
      <c r="AI11" s="16" t="s">
        <v>148</v>
      </c>
      <c r="AJ11" s="345" t="s">
        <v>154</v>
      </c>
      <c r="AK11" s="58"/>
      <c r="AL11" s="344" t="s">
        <v>155</v>
      </c>
      <c r="AM11" s="16" t="s">
        <v>157</v>
      </c>
      <c r="AN11" s="16" t="s">
        <v>167</v>
      </c>
      <c r="AO11" s="16" t="s">
        <v>168</v>
      </c>
      <c r="AP11" s="58"/>
      <c r="AQ11" s="337"/>
      <c r="AR11" s="58"/>
      <c r="AS11" s="12"/>
      <c r="AT11" s="12"/>
      <c r="AU11" s="12"/>
      <c r="AV11" s="12"/>
      <c r="AW11" s="363"/>
      <c r="AX11" s="12"/>
      <c r="AY11" s="16" t="s">
        <v>163</v>
      </c>
      <c r="AZ11" s="16" t="s">
        <v>164</v>
      </c>
      <c r="BA11" s="345" t="s">
        <v>162</v>
      </c>
      <c r="BB11" s="345" t="s">
        <v>126</v>
      </c>
      <c r="BC11" s="16" t="s">
        <v>148</v>
      </c>
      <c r="BD11" s="345" t="s">
        <v>154</v>
      </c>
      <c r="BE11" s="58"/>
      <c r="BF11" s="344" t="s">
        <v>155</v>
      </c>
      <c r="BG11" s="16" t="s">
        <v>157</v>
      </c>
      <c r="BH11" s="16" t="s">
        <v>167</v>
      </c>
      <c r="BI11" s="16" t="s">
        <v>168</v>
      </c>
      <c r="BJ11" s="58"/>
      <c r="BK11" s="337"/>
      <c r="BL11" s="58"/>
      <c r="BM11" s="12"/>
      <c r="BN11" s="12"/>
      <c r="BO11" s="12"/>
      <c r="BP11" s="356"/>
    </row>
    <row r="12" spans="2:68">
      <c r="D12" t="s">
        <v>91</v>
      </c>
      <c r="AD12" s="355"/>
      <c r="AE12" s="12">
        <f>(1-AO12)^1.3</f>
        <v>0.68876865498860407</v>
      </c>
      <c r="AF12" s="12">
        <f>0.7*(1-AN12)+0.3*(1-AN12)^12</f>
        <v>0.67413528672471656</v>
      </c>
      <c r="AG12" s="290" t="s">
        <v>156</v>
      </c>
      <c r="AH12" s="16">
        <v>38.1</v>
      </c>
      <c r="AI12" s="16">
        <v>1</v>
      </c>
      <c r="AJ12" s="16">
        <v>0.6</v>
      </c>
      <c r="AK12" s="58"/>
      <c r="AL12" s="88">
        <v>0.4</v>
      </c>
      <c r="AM12" s="16">
        <v>1</v>
      </c>
      <c r="AN12" s="16">
        <f>AH14/AH13</f>
        <v>0.12421052631578947</v>
      </c>
      <c r="AO12" s="16">
        <f>AH13/AH12</f>
        <v>0.24934383202099736</v>
      </c>
      <c r="AP12" s="58"/>
      <c r="AQ12" s="84"/>
      <c r="AR12" s="58"/>
      <c r="AS12" s="12"/>
      <c r="AT12" s="12"/>
      <c r="AU12" s="12"/>
      <c r="AV12" s="12"/>
      <c r="AW12" s="363"/>
      <c r="AX12" s="12"/>
      <c r="AY12" s="12">
        <f>(1-BI12)^1.3</f>
        <v>0.95992594871812065</v>
      </c>
      <c r="AZ12" s="12">
        <f>0.7*(1-BH12)+0.3*(1-BH12)^12</f>
        <v>0.8839859037248059</v>
      </c>
      <c r="BA12" s="290" t="s">
        <v>156</v>
      </c>
      <c r="BB12" s="16">
        <v>38.1</v>
      </c>
      <c r="BC12" s="16">
        <v>1</v>
      </c>
      <c r="BD12" s="16">
        <v>0.6</v>
      </c>
      <c r="BE12" s="58"/>
      <c r="BF12" s="88">
        <v>0.4</v>
      </c>
      <c r="BG12" s="16">
        <v>1</v>
      </c>
      <c r="BH12" s="16">
        <f>BB13/BB12</f>
        <v>3.0971128608923881E-2</v>
      </c>
      <c r="BI12" s="16">
        <f>BB13/BB12</f>
        <v>3.0971128608923881E-2</v>
      </c>
      <c r="BJ12" s="58"/>
      <c r="BK12" s="84"/>
      <c r="BL12" s="58"/>
      <c r="BM12" s="12"/>
      <c r="BN12" s="12"/>
      <c r="BO12" s="12"/>
      <c r="BP12" s="356"/>
    </row>
    <row r="13" spans="2:68">
      <c r="D13" t="s">
        <v>90</v>
      </c>
      <c r="AD13" s="355"/>
      <c r="AE13" s="12"/>
      <c r="AF13" s="12"/>
      <c r="AG13" s="170" t="s">
        <v>4</v>
      </c>
      <c r="AH13" s="16">
        <v>9.5</v>
      </c>
      <c r="AI13" s="16">
        <v>2</v>
      </c>
      <c r="AJ13" s="40">
        <v>0.62</v>
      </c>
      <c r="AK13" s="58"/>
      <c r="AL13" s="88">
        <v>0.15</v>
      </c>
      <c r="AM13" s="16">
        <v>2</v>
      </c>
      <c r="AN13" s="58"/>
      <c r="AO13" s="58"/>
      <c r="AP13" s="58"/>
      <c r="AQ13" s="84"/>
      <c r="AR13" s="58"/>
      <c r="AS13" s="12"/>
      <c r="AT13" s="12"/>
      <c r="AU13" s="12"/>
      <c r="AV13" s="12"/>
      <c r="AW13" s="363"/>
      <c r="AX13" s="12"/>
      <c r="AY13" s="12"/>
      <c r="AZ13" s="12"/>
      <c r="BA13" s="16" t="s">
        <v>73</v>
      </c>
      <c r="BB13" s="16">
        <v>1.18</v>
      </c>
      <c r="BC13" s="16">
        <v>2</v>
      </c>
      <c r="BD13" s="16">
        <v>0.62</v>
      </c>
      <c r="BE13" s="58"/>
      <c r="BF13" s="88">
        <v>0.6</v>
      </c>
      <c r="BG13" s="16">
        <v>2</v>
      </c>
      <c r="BH13" s="58"/>
      <c r="BI13" s="58"/>
      <c r="BJ13" s="58"/>
      <c r="BK13" s="84"/>
      <c r="BL13" s="58"/>
      <c r="BM13" s="12"/>
      <c r="BN13" s="12"/>
      <c r="BO13" s="12"/>
      <c r="BP13" s="356"/>
    </row>
    <row r="14" spans="2:68" ht="15" thickBot="1">
      <c r="C14" s="15"/>
      <c r="D14" s="15"/>
      <c r="E14" s="15"/>
      <c r="F14" s="15"/>
      <c r="G14" s="15"/>
      <c r="H14" s="15"/>
      <c r="I14" s="15"/>
      <c r="J14" s="15"/>
      <c r="K14" s="15"/>
      <c r="L14" s="15"/>
      <c r="M14" s="15"/>
      <c r="N14" s="15"/>
      <c r="O14" s="15"/>
      <c r="AD14" s="355"/>
      <c r="AE14" s="12"/>
      <c r="AF14" s="12"/>
      <c r="AG14" s="170" t="s">
        <v>15</v>
      </c>
      <c r="AH14" s="16">
        <v>1.18</v>
      </c>
      <c r="AI14" s="16">
        <v>3</v>
      </c>
      <c r="AJ14" s="16">
        <v>0.65</v>
      </c>
      <c r="AK14" s="58"/>
      <c r="AL14" s="88">
        <v>0.45</v>
      </c>
      <c r="AM14" s="16">
        <v>3</v>
      </c>
      <c r="AN14" s="58"/>
      <c r="AO14" s="58"/>
      <c r="AP14" s="58"/>
      <c r="AQ14" s="84"/>
      <c r="AR14" s="58"/>
      <c r="AS14" s="12"/>
      <c r="AT14" s="12"/>
      <c r="AU14" s="12"/>
      <c r="AV14" s="12"/>
      <c r="AW14" s="363"/>
      <c r="AX14" s="12"/>
      <c r="AY14" s="12"/>
      <c r="AZ14" s="12"/>
      <c r="BA14" s="58"/>
      <c r="BB14" s="58"/>
      <c r="BC14" s="58"/>
      <c r="BD14" s="58"/>
      <c r="BE14" s="58"/>
      <c r="BF14" s="84"/>
      <c r="BG14" s="58"/>
      <c r="BH14" s="58"/>
      <c r="BI14" s="58"/>
      <c r="BJ14" s="58"/>
      <c r="BK14" s="84"/>
      <c r="BL14" s="58"/>
      <c r="BM14" s="12"/>
      <c r="BN14" s="12"/>
      <c r="BO14" s="12"/>
      <c r="BP14" s="356"/>
    </row>
    <row r="15" spans="2:68" ht="15" thickBot="1">
      <c r="B15" s="268"/>
      <c r="C15" s="15"/>
      <c r="D15" s="269" t="s">
        <v>94</v>
      </c>
      <c r="E15" s="270"/>
      <c r="F15" s="270"/>
      <c r="G15" s="271"/>
      <c r="H15" s="15"/>
      <c r="I15" s="15"/>
      <c r="J15" s="15"/>
      <c r="K15" s="15"/>
      <c r="L15" s="15"/>
      <c r="M15" s="15"/>
      <c r="N15" s="15"/>
      <c r="O15" s="15"/>
      <c r="AD15" s="355"/>
      <c r="AE15" s="12"/>
      <c r="AF15" s="12"/>
      <c r="AG15" s="58"/>
      <c r="AH15" s="58"/>
      <c r="AI15" s="58"/>
      <c r="AJ15" s="58"/>
      <c r="AK15" s="58"/>
      <c r="AL15" s="131">
        <f>SUM(AL12:AL14)</f>
        <v>1</v>
      </c>
      <c r="AM15" s="58"/>
      <c r="AN15" s="58"/>
      <c r="AO15" s="58"/>
      <c r="AP15" s="58"/>
      <c r="AQ15" s="58"/>
      <c r="AR15" s="58"/>
      <c r="AS15" s="12"/>
      <c r="AT15" s="12"/>
      <c r="AU15" s="12"/>
      <c r="AV15" s="12"/>
      <c r="AW15" s="363"/>
      <c r="AX15" s="12"/>
      <c r="AY15" s="12"/>
      <c r="AZ15" s="12"/>
      <c r="BA15" s="58"/>
      <c r="BB15" s="58"/>
      <c r="BC15" s="58"/>
      <c r="BD15" s="58"/>
      <c r="BE15" s="58"/>
      <c r="BF15" s="131">
        <f>SUM(BF12:BF14)</f>
        <v>1</v>
      </c>
      <c r="BG15" s="58"/>
      <c r="BH15" s="58"/>
      <c r="BI15" s="58"/>
      <c r="BJ15" s="58"/>
      <c r="BK15" s="58"/>
      <c r="BL15" s="58"/>
      <c r="BM15" s="12"/>
      <c r="BN15" s="12"/>
      <c r="BO15" s="12"/>
      <c r="BP15" s="356"/>
    </row>
    <row r="16" spans="2:68" ht="15" thickBot="1">
      <c r="C16" s="15"/>
      <c r="D16" s="15"/>
      <c r="E16" s="15"/>
      <c r="F16" s="15"/>
      <c r="G16" s="15"/>
      <c r="H16" s="15"/>
      <c r="I16" s="15"/>
      <c r="J16" s="15"/>
      <c r="K16" s="15"/>
      <c r="L16" s="15"/>
      <c r="M16" s="15"/>
      <c r="N16" s="15"/>
      <c r="O16" s="15"/>
      <c r="AD16" s="355"/>
      <c r="AE16" s="12"/>
      <c r="AF16" s="12"/>
      <c r="AG16" s="58"/>
      <c r="AH16" s="58"/>
      <c r="AI16" s="338">
        <f>AJ12/(1-(1-AJ12+AE12*AJ12*(1-1/AJ13))*AL13-(1-AF12*AJ12/AJ13)*AL13)</f>
        <v>0.64805193936620697</v>
      </c>
      <c r="AJ16" s="58"/>
      <c r="AK16" s="58"/>
      <c r="AL16" s="58" t="s">
        <v>169</v>
      </c>
      <c r="AM16" s="58"/>
      <c r="AN16" s="58"/>
      <c r="AO16" s="12"/>
      <c r="AP16" s="12"/>
      <c r="AQ16" s="10">
        <f>AJ12/(1-(1-AJ12+AJ12*(1-1/AJ13))*AL13-(1-AJ12/AJ13)*AL13)</f>
        <v>0.60586319218241047</v>
      </c>
      <c r="AR16" s="58"/>
      <c r="AS16" s="58"/>
      <c r="AT16" s="58" t="s">
        <v>170</v>
      </c>
      <c r="AU16" s="58"/>
      <c r="AV16" s="58"/>
      <c r="AW16" s="363"/>
      <c r="AX16" s="12"/>
      <c r="AY16" s="12"/>
      <c r="AZ16" s="12"/>
      <c r="BA16" s="58"/>
      <c r="BB16" s="58"/>
      <c r="BC16" s="338">
        <f>BD12/(1-(1-BD12+AY12*BD12*(1-1/BD13))*BF13-(1-AZ12*BD12/BD13)*BF13)</f>
        <v>0.67790087504679886</v>
      </c>
      <c r="BD16" s="58"/>
      <c r="BE16" s="58"/>
      <c r="BF16" s="58" t="s">
        <v>169</v>
      </c>
      <c r="BG16" s="58"/>
      <c r="BH16" s="58"/>
      <c r="BI16" s="12"/>
      <c r="BJ16" s="12"/>
      <c r="BK16" s="10">
        <f>BD12/(1-(1-BD12+BD12*(1-1/BD13))*BF13-(1-BD12/BD13)*BF13)</f>
        <v>0.62416107382550334</v>
      </c>
      <c r="BL16" s="58"/>
      <c r="BM16" s="58"/>
      <c r="BN16" s="58" t="s">
        <v>170</v>
      </c>
      <c r="BO16" s="58"/>
      <c r="BP16" s="358"/>
    </row>
    <row r="17" spans="3:68">
      <c r="C17" s="15"/>
      <c r="D17" s="265" t="s">
        <v>144</v>
      </c>
      <c r="E17" s="265"/>
      <c r="F17" s="15"/>
      <c r="G17" s="15"/>
      <c r="H17" s="15"/>
      <c r="I17" s="15"/>
      <c r="J17" s="15"/>
      <c r="K17" s="15"/>
      <c r="L17" s="15"/>
      <c r="M17" s="15"/>
      <c r="N17" s="15"/>
      <c r="O17" s="15"/>
      <c r="AD17" s="355"/>
      <c r="AE17" s="12"/>
      <c r="AF17" s="12"/>
      <c r="AG17" s="12"/>
      <c r="AH17" s="12"/>
      <c r="AI17" s="12"/>
      <c r="AJ17" s="12"/>
      <c r="AK17" s="12"/>
      <c r="AL17" s="12"/>
      <c r="AM17" s="12"/>
      <c r="AN17" s="12"/>
      <c r="AO17" s="12"/>
      <c r="AP17" s="12"/>
      <c r="AQ17" s="12"/>
      <c r="AR17" s="12"/>
      <c r="AS17" s="12"/>
      <c r="AT17" s="12"/>
      <c r="AU17" s="12"/>
      <c r="AV17" s="12"/>
      <c r="AW17" s="363"/>
      <c r="AX17" s="12"/>
      <c r="AY17" s="12"/>
      <c r="AZ17" s="12"/>
      <c r="BA17" s="12"/>
      <c r="BB17" s="12"/>
      <c r="BC17" s="12"/>
      <c r="BD17" s="12"/>
      <c r="BE17" s="12"/>
      <c r="BF17" s="12"/>
      <c r="BG17" s="12"/>
      <c r="BH17" s="12"/>
      <c r="BI17" s="12"/>
      <c r="BJ17" s="12"/>
      <c r="BK17" s="12"/>
      <c r="BL17" s="12"/>
      <c r="BM17" s="12"/>
      <c r="BN17" s="12"/>
      <c r="BO17" s="12"/>
      <c r="BP17" s="356"/>
    </row>
    <row r="18" spans="3:68">
      <c r="C18" s="15"/>
      <c r="D18" s="15"/>
      <c r="E18" s="15"/>
      <c r="F18" s="15"/>
      <c r="G18" s="15"/>
      <c r="H18" s="15"/>
      <c r="I18" s="272"/>
      <c r="J18" s="15"/>
      <c r="K18" s="15"/>
      <c r="L18" s="15"/>
      <c r="M18" s="15"/>
      <c r="N18" s="15"/>
      <c r="O18" s="15"/>
      <c r="AD18" s="355"/>
      <c r="AE18" s="12"/>
      <c r="AF18" s="12"/>
      <c r="AG18" s="12"/>
      <c r="AH18" s="12"/>
      <c r="AI18" s="12"/>
      <c r="AJ18" s="12"/>
      <c r="AK18" s="12"/>
      <c r="AL18" s="12"/>
      <c r="AM18" s="12"/>
      <c r="AN18" s="12"/>
      <c r="AO18" s="12"/>
      <c r="AP18" s="12"/>
      <c r="AQ18" s="12"/>
      <c r="AR18" s="12"/>
      <c r="AS18" s="12"/>
      <c r="AT18" s="12"/>
      <c r="AU18" s="12"/>
      <c r="AV18" s="12"/>
      <c r="AW18" s="363"/>
      <c r="AX18" s="12"/>
      <c r="AY18" s="12"/>
      <c r="AZ18" s="12"/>
      <c r="BA18" s="12"/>
      <c r="BB18" s="12"/>
      <c r="BC18" s="12"/>
      <c r="BD18" s="12"/>
      <c r="BE18" s="12"/>
      <c r="BF18" s="12"/>
      <c r="BG18" s="12"/>
      <c r="BH18" s="12"/>
      <c r="BI18" s="12"/>
      <c r="BJ18" s="12"/>
      <c r="BK18" s="12"/>
      <c r="BL18" s="12"/>
      <c r="BM18" s="12"/>
      <c r="BN18" s="12"/>
      <c r="BO18" s="12"/>
      <c r="BP18" s="356"/>
    </row>
    <row r="19" spans="3:68">
      <c r="C19" s="15"/>
      <c r="D19" s="265" t="s">
        <v>92</v>
      </c>
      <c r="E19" s="265"/>
      <c r="F19" s="15"/>
      <c r="G19" s="15"/>
      <c r="H19" s="15"/>
      <c r="I19" s="15" t="s">
        <v>95</v>
      </c>
      <c r="J19" s="15"/>
      <c r="K19" s="15"/>
      <c r="L19" s="15"/>
      <c r="M19" s="15" t="s">
        <v>96</v>
      </c>
      <c r="N19" s="15"/>
      <c r="O19" s="15"/>
      <c r="S19" t="s">
        <v>101</v>
      </c>
      <c r="AD19" s="355"/>
      <c r="AE19" s="16" t="s">
        <v>163</v>
      </c>
      <c r="AF19" s="16" t="s">
        <v>164</v>
      </c>
      <c r="AG19" s="16" t="s">
        <v>162</v>
      </c>
      <c r="AH19" s="16" t="s">
        <v>126</v>
      </c>
      <c r="AI19" s="16" t="s">
        <v>148</v>
      </c>
      <c r="AJ19" s="16" t="s">
        <v>154</v>
      </c>
      <c r="AK19" s="58"/>
      <c r="AL19" s="336" t="s">
        <v>155</v>
      </c>
      <c r="AM19" s="16" t="s">
        <v>157</v>
      </c>
      <c r="AN19" s="290" t="s">
        <v>167</v>
      </c>
      <c r="AO19" s="16" t="s">
        <v>168</v>
      </c>
      <c r="AP19" s="12"/>
      <c r="AQ19" s="58"/>
      <c r="AR19" s="58"/>
      <c r="AS19" s="58"/>
      <c r="AT19" s="58"/>
      <c r="AU19" s="58"/>
      <c r="AV19" s="337"/>
      <c r="AW19" s="364"/>
      <c r="AX19" s="12"/>
      <c r="AY19" s="16" t="s">
        <v>163</v>
      </c>
      <c r="AZ19" s="16" t="s">
        <v>164</v>
      </c>
      <c r="BA19" s="345" t="s">
        <v>162</v>
      </c>
      <c r="BB19" s="345" t="s">
        <v>126</v>
      </c>
      <c r="BC19" s="16" t="s">
        <v>148</v>
      </c>
      <c r="BD19" s="345" t="s">
        <v>154</v>
      </c>
      <c r="BE19" s="58"/>
      <c r="BF19" s="344" t="s">
        <v>155</v>
      </c>
      <c r="BG19" s="16" t="s">
        <v>157</v>
      </c>
      <c r="BH19" s="16" t="s">
        <v>167</v>
      </c>
      <c r="BI19" s="16" t="s">
        <v>168</v>
      </c>
      <c r="BJ19" s="12"/>
      <c r="BK19" s="12"/>
      <c r="BL19" s="12"/>
      <c r="BM19" s="12"/>
      <c r="BN19" s="12"/>
      <c r="BO19" s="12"/>
      <c r="BP19" s="356"/>
    </row>
    <row r="20" spans="3:68">
      <c r="C20" s="15"/>
      <c r="D20" s="15"/>
      <c r="E20" s="15"/>
      <c r="F20" s="15"/>
      <c r="G20" s="265"/>
      <c r="H20" s="15"/>
      <c r="I20" s="15"/>
      <c r="J20" s="265" t="s">
        <v>92</v>
      </c>
      <c r="K20" s="265"/>
      <c r="L20" s="265"/>
      <c r="M20" s="15" t="s">
        <v>97</v>
      </c>
      <c r="N20" s="15"/>
      <c r="O20" s="15"/>
      <c r="S20" t="s">
        <v>102</v>
      </c>
      <c r="AD20" s="355"/>
      <c r="AE20" s="12">
        <f>AE12</f>
        <v>0.68876865498860407</v>
      </c>
      <c r="AF20" s="12">
        <f>AF12</f>
        <v>0.67413528672471656</v>
      </c>
      <c r="AG20" s="170" t="str">
        <f t="shared" ref="AG20:AJ21" si="0">AG13</f>
        <v>3/8"</v>
      </c>
      <c r="AH20" s="16">
        <f t="shared" si="0"/>
        <v>9.5</v>
      </c>
      <c r="AI20" s="16">
        <f t="shared" si="0"/>
        <v>2</v>
      </c>
      <c r="AJ20" s="40">
        <f t="shared" si="0"/>
        <v>0.62</v>
      </c>
      <c r="AK20" s="58"/>
      <c r="AL20" s="88">
        <f>AL13</f>
        <v>0.15</v>
      </c>
      <c r="AM20" s="16">
        <f>AM13</f>
        <v>2</v>
      </c>
      <c r="AN20" s="16">
        <f>AN12</f>
        <v>0.12421052631578947</v>
      </c>
      <c r="AO20" s="40">
        <f>AO12</f>
        <v>0.24934383202099736</v>
      </c>
      <c r="AP20" s="12"/>
      <c r="AQ20" s="58"/>
      <c r="AR20" s="58"/>
      <c r="AS20" s="58"/>
      <c r="AT20" s="58"/>
      <c r="AU20" s="58"/>
      <c r="AV20" s="84"/>
      <c r="AW20" s="364"/>
      <c r="AX20" s="12"/>
      <c r="AY20" s="12">
        <f>(1-BI20)^1.3</f>
        <v>0.95992594871812065</v>
      </c>
      <c r="AZ20" s="12">
        <f>0.7*(1-BH20)+0.3*(1-BH20)^12</f>
        <v>0.8839859037248059</v>
      </c>
      <c r="BA20" s="290" t="str">
        <f>BA13</f>
        <v>SAND</v>
      </c>
      <c r="BB20" s="16">
        <v>38.1</v>
      </c>
      <c r="BC20" s="16">
        <v>1</v>
      </c>
      <c r="BD20" s="16">
        <f>BD13</f>
        <v>0.62</v>
      </c>
      <c r="BE20" s="58"/>
      <c r="BF20" s="88">
        <f>BF13</f>
        <v>0.6</v>
      </c>
      <c r="BG20" s="16">
        <v>1</v>
      </c>
      <c r="BH20" s="16">
        <f>BB21/BB20</f>
        <v>3.0971128608923881E-2</v>
      </c>
      <c r="BI20" s="16">
        <f>BB21/BB20</f>
        <v>3.0971128608923881E-2</v>
      </c>
      <c r="BJ20" s="12"/>
      <c r="BK20" s="12"/>
      <c r="BL20" s="12"/>
      <c r="BM20" s="12"/>
      <c r="BN20" s="12"/>
      <c r="BO20" s="12"/>
      <c r="BP20" s="356"/>
    </row>
    <row r="21" spans="3:68">
      <c r="C21" s="15"/>
      <c r="D21" s="15" t="s">
        <v>93</v>
      </c>
      <c r="E21" s="15"/>
      <c r="F21" s="15"/>
      <c r="G21" s="273"/>
      <c r="H21" s="15"/>
      <c r="I21" s="15"/>
      <c r="J21" s="15"/>
      <c r="K21" s="15"/>
      <c r="L21" s="15"/>
      <c r="M21" s="15"/>
      <c r="N21" s="15"/>
      <c r="O21" s="15"/>
      <c r="S21" t="s">
        <v>103</v>
      </c>
      <c r="AD21" s="355"/>
      <c r="AE21" s="12"/>
      <c r="AF21" s="12"/>
      <c r="AG21" s="170" t="str">
        <f t="shared" si="0"/>
        <v>sand</v>
      </c>
      <c r="AH21" s="16">
        <f t="shared" si="0"/>
        <v>1.18</v>
      </c>
      <c r="AI21" s="16">
        <f t="shared" si="0"/>
        <v>3</v>
      </c>
      <c r="AJ21" s="16">
        <f t="shared" si="0"/>
        <v>0.65</v>
      </c>
      <c r="AK21" s="58"/>
      <c r="AL21" s="88">
        <f>AL14</f>
        <v>0.45</v>
      </c>
      <c r="AM21" s="16">
        <f>AM14</f>
        <v>3</v>
      </c>
      <c r="AN21" s="58"/>
      <c r="AO21" s="58"/>
      <c r="AP21" s="12"/>
      <c r="AQ21" s="58"/>
      <c r="AR21" s="58"/>
      <c r="AS21" s="58"/>
      <c r="AT21" s="58"/>
      <c r="AU21" s="58"/>
      <c r="AV21" s="84"/>
      <c r="AW21" s="364"/>
      <c r="AX21" s="12"/>
      <c r="AY21" s="12"/>
      <c r="AZ21" s="12"/>
      <c r="BA21" s="16" t="str">
        <f>BA12</f>
        <v>#57</v>
      </c>
      <c r="BB21" s="16">
        <v>1.18</v>
      </c>
      <c r="BC21" s="16">
        <v>2</v>
      </c>
      <c r="BD21" s="16">
        <f>BD12</f>
        <v>0.6</v>
      </c>
      <c r="BE21" s="58"/>
      <c r="BF21" s="88">
        <f>BF12</f>
        <v>0.4</v>
      </c>
      <c r="BG21" s="16">
        <v>2</v>
      </c>
      <c r="BH21" s="58"/>
      <c r="BI21" s="58"/>
      <c r="BJ21" s="12"/>
      <c r="BK21" s="12"/>
      <c r="BL21" s="12"/>
      <c r="BM21" s="12"/>
      <c r="BN21" s="12"/>
      <c r="BO21" s="12"/>
      <c r="BP21" s="356"/>
    </row>
    <row r="22" spans="3:68">
      <c r="C22" s="15"/>
      <c r="D22" s="15"/>
      <c r="E22" s="15"/>
      <c r="F22" s="15"/>
      <c r="G22" s="15"/>
      <c r="H22" s="15"/>
      <c r="I22" s="15"/>
      <c r="J22" s="15"/>
      <c r="K22" s="15"/>
      <c r="L22" s="15"/>
      <c r="M22" s="15"/>
      <c r="N22" s="15"/>
      <c r="O22" s="15"/>
      <c r="S22" t="s">
        <v>104</v>
      </c>
      <c r="AD22" s="355"/>
      <c r="AE22" s="12"/>
      <c r="AF22" s="12"/>
      <c r="AG22" s="290" t="str">
        <f>AG12</f>
        <v>#57</v>
      </c>
      <c r="AH22" s="16">
        <f>AH12</f>
        <v>38.1</v>
      </c>
      <c r="AI22" s="16">
        <f>AI12</f>
        <v>1</v>
      </c>
      <c r="AJ22" s="16">
        <f>AJ12</f>
        <v>0.6</v>
      </c>
      <c r="AK22" s="58"/>
      <c r="AL22" s="88">
        <f>AL12</f>
        <v>0.4</v>
      </c>
      <c r="AM22" s="16">
        <f>AM12</f>
        <v>1</v>
      </c>
      <c r="AN22" s="58"/>
      <c r="AO22" s="58"/>
      <c r="AP22" s="12"/>
      <c r="AQ22" s="58"/>
      <c r="AR22" s="58"/>
      <c r="AS22" s="58"/>
      <c r="AT22" s="58"/>
      <c r="AU22" s="58"/>
      <c r="AV22" s="84"/>
      <c r="AW22" s="364"/>
      <c r="AX22" s="12"/>
      <c r="AY22" s="12"/>
      <c r="AZ22" s="12"/>
      <c r="BA22" s="58"/>
      <c r="BB22" s="58"/>
      <c r="BC22" s="58"/>
      <c r="BD22" s="58"/>
      <c r="BE22" s="58"/>
      <c r="BF22" s="84"/>
      <c r="BG22" s="58"/>
      <c r="BH22" s="58"/>
      <c r="BI22" s="58"/>
      <c r="BJ22" s="12"/>
      <c r="BK22" s="12"/>
      <c r="BL22" s="12"/>
      <c r="BM22" s="12"/>
      <c r="BN22" s="12"/>
      <c r="BO22" s="12"/>
      <c r="BP22" s="356"/>
    </row>
    <row r="23" spans="3:68" ht="16" thickBot="1">
      <c r="C23" s="15"/>
      <c r="D23" s="15"/>
      <c r="E23" s="15"/>
      <c r="F23" s="15"/>
      <c r="G23" s="15"/>
      <c r="H23" s="15"/>
      <c r="I23" s="275" t="s">
        <v>99</v>
      </c>
      <c r="J23" s="275"/>
      <c r="K23" s="15"/>
      <c r="L23" s="15"/>
      <c r="M23" s="15"/>
      <c r="N23" s="15"/>
      <c r="O23" s="15"/>
      <c r="S23" t="s">
        <v>105</v>
      </c>
      <c r="AD23" s="355"/>
      <c r="AE23" s="12"/>
      <c r="AF23" s="12"/>
      <c r="AG23" s="58"/>
      <c r="AH23" s="58"/>
      <c r="AI23" s="58"/>
      <c r="AJ23" s="58"/>
      <c r="AK23" s="58"/>
      <c r="AL23" s="131">
        <f>SUM(AL20:AL22)</f>
        <v>1</v>
      </c>
      <c r="AM23" s="58"/>
      <c r="AN23" s="58"/>
      <c r="AO23" s="58"/>
      <c r="AP23" s="12"/>
      <c r="AQ23" s="12"/>
      <c r="AR23" s="12"/>
      <c r="AS23" s="12"/>
      <c r="AT23" s="12"/>
      <c r="AU23" s="12"/>
      <c r="AV23" s="12"/>
      <c r="AW23" s="363"/>
      <c r="AX23" s="12"/>
      <c r="AY23" s="12"/>
      <c r="AZ23" s="12"/>
      <c r="BA23" s="58"/>
      <c r="BB23" s="58"/>
      <c r="BC23" s="58"/>
      <c r="BD23" s="58"/>
      <c r="BE23" s="58"/>
      <c r="BF23" s="131">
        <f>SUM(BF20:BF22)</f>
        <v>1</v>
      </c>
      <c r="BG23" s="58"/>
      <c r="BH23" s="58"/>
      <c r="BI23" s="58"/>
      <c r="BJ23" s="12"/>
      <c r="BK23" s="12"/>
      <c r="BL23" s="12"/>
      <c r="BM23" s="12"/>
      <c r="BN23" s="12"/>
      <c r="BO23" s="12"/>
      <c r="BP23" s="356"/>
    </row>
    <row r="24" spans="3:68" ht="15" thickBot="1">
      <c r="C24" s="15"/>
      <c r="D24" s="15"/>
      <c r="E24" s="15"/>
      <c r="F24" s="15"/>
      <c r="G24" s="15"/>
      <c r="H24" s="15"/>
      <c r="I24" s="276"/>
      <c r="J24" s="276"/>
      <c r="K24" s="15"/>
      <c r="L24" s="15"/>
      <c r="S24" t="s">
        <v>106</v>
      </c>
      <c r="AD24" s="355"/>
      <c r="AE24" s="12"/>
      <c r="AF24" s="12"/>
      <c r="AG24" s="58"/>
      <c r="AH24" s="58"/>
      <c r="AI24" s="338">
        <f>AJ20/(1-(1-AJ20+AE20*AJ20*(1-1/AJ21))*AL21-(1-AF20*AJ20/AJ21)*AL21)</f>
        <v>0.80328168809089118</v>
      </c>
      <c r="AJ24" s="58"/>
      <c r="AK24" s="58"/>
      <c r="AL24" s="58"/>
      <c r="AM24" s="58"/>
      <c r="AN24" s="58"/>
      <c r="AO24" s="58"/>
      <c r="AP24" s="12"/>
      <c r="AQ24" s="10">
        <f>AJ20/(1-(1-AJ20+AJ20*(1-1/AJ21))*AL21-(1-AJ20/AJ21)*AL21)</f>
        <v>0.64686998394863571</v>
      </c>
      <c r="AR24" s="58"/>
      <c r="AS24" s="58"/>
      <c r="AT24" s="58" t="s">
        <v>170</v>
      </c>
      <c r="AU24" s="58"/>
      <c r="AV24" s="58"/>
      <c r="AW24" s="363"/>
      <c r="AX24" s="12"/>
      <c r="AY24" s="12"/>
      <c r="AZ24" s="12"/>
      <c r="BA24" s="58"/>
      <c r="BB24" s="58"/>
      <c r="BC24" s="338">
        <f>BD20/(1-(1-BD20+AY20*BD20*(1-1/BD21))*BF21-(1-AZ20*BD20/BD21)*BF21)</f>
        <v>0.63780194714196947</v>
      </c>
      <c r="BD24" s="58"/>
      <c r="BE24" s="58"/>
      <c r="BF24" s="58" t="s">
        <v>169</v>
      </c>
      <c r="BG24" s="58"/>
      <c r="BH24" s="58"/>
      <c r="BI24" s="12"/>
      <c r="BJ24" s="12"/>
      <c r="BK24" s="10">
        <f>BD20/(1-(1-BD20+BD20*(1-1/BD21))*BF21-(1-BD20/BD21)*BF21)</f>
        <v>0.60389610389610382</v>
      </c>
      <c r="BL24" s="58"/>
      <c r="BM24" s="58"/>
      <c r="BN24" s="58" t="s">
        <v>170</v>
      </c>
      <c r="BO24" s="58"/>
      <c r="BP24" s="358"/>
    </row>
    <row r="25" spans="3:68" ht="15.5">
      <c r="C25" s="15"/>
      <c r="D25" s="15"/>
      <c r="E25" s="15"/>
      <c r="F25" s="15"/>
      <c r="G25" s="15"/>
      <c r="H25" s="15"/>
      <c r="I25" s="275" t="s">
        <v>98</v>
      </c>
      <c r="J25" s="275"/>
      <c r="K25" s="15"/>
      <c r="L25" s="15"/>
      <c r="S25" t="s">
        <v>107</v>
      </c>
      <c r="AD25" s="355"/>
      <c r="AE25" s="12"/>
      <c r="AF25" s="12"/>
      <c r="AG25" s="12"/>
      <c r="AH25" s="12"/>
      <c r="AI25" s="12"/>
      <c r="AJ25" s="12"/>
      <c r="AK25" s="12"/>
      <c r="AL25" s="300"/>
      <c r="AM25" s="12"/>
      <c r="AN25" s="12"/>
      <c r="AO25" s="12"/>
      <c r="AP25" s="12"/>
      <c r="AQ25" s="12"/>
      <c r="AR25" s="12"/>
      <c r="AS25" s="12"/>
      <c r="AT25" s="12"/>
      <c r="AU25" s="12"/>
      <c r="AV25" s="12"/>
      <c r="AW25" s="363"/>
      <c r="AX25" s="12"/>
      <c r="AY25" s="12"/>
      <c r="AZ25" s="12"/>
      <c r="BA25" s="12"/>
      <c r="BB25" s="12"/>
      <c r="BC25" s="12"/>
      <c r="BD25" s="12"/>
      <c r="BE25" s="12"/>
      <c r="BF25" s="12"/>
      <c r="BG25" s="12"/>
      <c r="BH25" s="12"/>
      <c r="BI25" s="12"/>
      <c r="BJ25" s="12"/>
      <c r="BK25" s="12"/>
      <c r="BL25" s="12"/>
      <c r="BM25" s="12"/>
      <c r="BN25" s="12"/>
      <c r="BO25" s="12"/>
      <c r="BP25" s="356"/>
    </row>
    <row r="26" spans="3:68" ht="15" thickBot="1">
      <c r="I26" s="274"/>
      <c r="J26" s="274"/>
      <c r="S26" t="s">
        <v>110</v>
      </c>
      <c r="AD26" s="355"/>
      <c r="AE26" s="12"/>
      <c r="AF26" s="12"/>
      <c r="AG26" s="12"/>
      <c r="AH26" s="12"/>
      <c r="AI26" s="12"/>
      <c r="AJ26" s="12"/>
      <c r="AK26" s="12"/>
      <c r="AL26" s="12"/>
      <c r="AM26" s="12"/>
      <c r="AN26" s="12"/>
      <c r="AO26" s="12"/>
      <c r="AP26" s="12"/>
      <c r="AQ26" s="12"/>
      <c r="AR26" s="12"/>
      <c r="AS26" s="12"/>
      <c r="AT26" s="12"/>
      <c r="AU26" s="12"/>
      <c r="AV26" s="12"/>
      <c r="AW26" s="363"/>
      <c r="AX26" s="12"/>
      <c r="AY26" s="12"/>
      <c r="AZ26" s="12"/>
      <c r="BA26" s="12"/>
      <c r="BB26" s="12"/>
      <c r="BC26" s="12"/>
      <c r="BD26" s="12"/>
      <c r="BE26" s="12"/>
      <c r="BF26" s="12"/>
      <c r="BG26" s="12"/>
      <c r="BH26" s="12"/>
      <c r="BI26" s="12"/>
      <c r="BJ26" s="12"/>
      <c r="BK26" s="12"/>
      <c r="BL26" s="12"/>
      <c r="BM26" s="12"/>
      <c r="BN26" s="12"/>
      <c r="BO26" s="12"/>
      <c r="BP26" s="356"/>
    </row>
    <row r="27" spans="3:68" ht="15.5" thickTop="1" thickBot="1">
      <c r="F27" s="36" t="s">
        <v>123</v>
      </c>
      <c r="G27" s="36" t="s">
        <v>128</v>
      </c>
      <c r="L27" t="s">
        <v>124</v>
      </c>
      <c r="M27" s="279" t="s">
        <v>126</v>
      </c>
      <c r="N27" s="10" t="s">
        <v>100</v>
      </c>
      <c r="O27" s="287" t="s">
        <v>127</v>
      </c>
      <c r="S27" t="s">
        <v>111</v>
      </c>
      <c r="T27" s="267"/>
      <c r="AD27" s="355"/>
      <c r="AE27" s="16" t="s">
        <v>163</v>
      </c>
      <c r="AF27" s="16" t="s">
        <v>164</v>
      </c>
      <c r="AG27" s="16" t="s">
        <v>162</v>
      </c>
      <c r="AH27" s="16" t="s">
        <v>126</v>
      </c>
      <c r="AI27" s="16" t="s">
        <v>148</v>
      </c>
      <c r="AJ27" s="16" t="s">
        <v>154</v>
      </c>
      <c r="AK27" s="58"/>
      <c r="AL27" s="336" t="s">
        <v>155</v>
      </c>
      <c r="AM27" s="16" t="s">
        <v>157</v>
      </c>
      <c r="AN27" s="16" t="s">
        <v>167</v>
      </c>
      <c r="AO27" s="16" t="s">
        <v>168</v>
      </c>
      <c r="AP27" s="12"/>
      <c r="AQ27" s="58"/>
      <c r="AR27" s="58"/>
      <c r="AS27" s="58"/>
      <c r="AT27" s="58"/>
      <c r="AU27" s="58"/>
      <c r="AV27" s="337"/>
      <c r="AW27" s="364"/>
      <c r="AX27" s="12"/>
      <c r="AY27" s="12" t="s">
        <v>171</v>
      </c>
      <c r="AZ27" s="12"/>
      <c r="BA27" s="12"/>
      <c r="BB27" s="12"/>
      <c r="BC27" s="339">
        <f>MIN(BC24,BC16)</f>
        <v>0.63780194714196947</v>
      </c>
      <c r="BD27" s="12"/>
      <c r="BE27" s="12"/>
      <c r="BF27" s="12"/>
      <c r="BG27" s="12"/>
      <c r="BH27" s="12"/>
      <c r="BI27" s="12"/>
      <c r="BJ27" s="12"/>
      <c r="BK27" s="340">
        <f>MIN(BK24,BK16)</f>
        <v>0.60389610389610382</v>
      </c>
      <c r="BL27" s="58"/>
      <c r="BM27" s="58"/>
      <c r="BN27" s="58" t="s">
        <v>170</v>
      </c>
      <c r="BO27" s="58"/>
      <c r="BP27" s="358"/>
    </row>
    <row r="28" spans="3:68" ht="15" thickBot="1">
      <c r="F28" s="119">
        <f>L28</f>
        <v>0.45</v>
      </c>
      <c r="G28" s="119">
        <f>L29</f>
        <v>0.15</v>
      </c>
      <c r="H28" s="10"/>
      <c r="L28" s="285">
        <v>0.45</v>
      </c>
      <c r="M28" s="279">
        <v>25</v>
      </c>
      <c r="N28" s="277">
        <v>0.60990162876955345</v>
      </c>
      <c r="O28" s="288" t="s">
        <v>14</v>
      </c>
      <c r="S28" t="s">
        <v>108</v>
      </c>
      <c r="AD28" s="355"/>
      <c r="AE28" s="12">
        <f>(1-AO28)^1.3</f>
        <v>0.68876865498860407</v>
      </c>
      <c r="AF28" s="12">
        <f>AF20</f>
        <v>0.67413528672471656</v>
      </c>
      <c r="AG28" s="170" t="str">
        <f t="shared" ref="AG28:AJ29" si="1">AG21</f>
        <v>sand</v>
      </c>
      <c r="AH28" s="16">
        <f t="shared" si="1"/>
        <v>1.18</v>
      </c>
      <c r="AI28" s="16">
        <f t="shared" si="1"/>
        <v>3</v>
      </c>
      <c r="AJ28" s="16">
        <f t="shared" si="1"/>
        <v>0.65</v>
      </c>
      <c r="AK28" s="58"/>
      <c r="AL28" s="88">
        <f>AL21</f>
        <v>0.45</v>
      </c>
      <c r="AM28" s="16">
        <f>AM21</f>
        <v>3</v>
      </c>
      <c r="AN28" s="16">
        <f>AN20</f>
        <v>0.12421052631578947</v>
      </c>
      <c r="AO28" s="16">
        <f>AO20</f>
        <v>0.24934383202099736</v>
      </c>
      <c r="AP28" s="12"/>
      <c r="AQ28" s="58"/>
      <c r="AR28" s="58"/>
      <c r="AS28" s="58"/>
      <c r="AT28" s="58"/>
      <c r="AU28" s="58"/>
      <c r="AV28" s="84"/>
      <c r="AW28" s="364"/>
      <c r="AX28" s="12"/>
      <c r="AY28" s="12"/>
      <c r="AZ28" s="12"/>
      <c r="BA28" s="12"/>
      <c r="BB28" s="12"/>
      <c r="BC28" s="12"/>
      <c r="BD28" s="12"/>
      <c r="BE28" s="12"/>
      <c r="BF28" s="12"/>
      <c r="BG28" s="12"/>
      <c r="BH28" s="12"/>
      <c r="BI28" s="12"/>
      <c r="BJ28" s="12"/>
      <c r="BK28" s="12"/>
      <c r="BL28" s="12"/>
      <c r="BM28" s="12"/>
      <c r="BN28" s="12"/>
      <c r="BO28" s="12"/>
      <c r="BP28" s="356"/>
    </row>
    <row r="29" spans="3:68" ht="15" thickBot="1">
      <c r="F29" s="119">
        <f>L29</f>
        <v>0.15</v>
      </c>
      <c r="G29" s="119">
        <f>L30</f>
        <v>0.4</v>
      </c>
      <c r="H29" s="10"/>
      <c r="L29" s="101">
        <v>0.15</v>
      </c>
      <c r="M29" s="36">
        <v>9.5</v>
      </c>
      <c r="N29" s="278">
        <v>0.61619093694565397</v>
      </c>
      <c r="O29" s="289" t="s">
        <v>4</v>
      </c>
      <c r="S29" t="s">
        <v>109</v>
      </c>
      <c r="AD29" s="355"/>
      <c r="AE29" s="12"/>
      <c r="AF29" s="12"/>
      <c r="AG29" s="290" t="str">
        <f t="shared" si="1"/>
        <v>#57</v>
      </c>
      <c r="AH29" s="16">
        <f t="shared" si="1"/>
        <v>38.1</v>
      </c>
      <c r="AI29" s="16">
        <f t="shared" si="1"/>
        <v>1</v>
      </c>
      <c r="AJ29" s="16">
        <f t="shared" si="1"/>
        <v>0.6</v>
      </c>
      <c r="AK29" s="58"/>
      <c r="AL29" s="88">
        <f>AL22</f>
        <v>0.4</v>
      </c>
      <c r="AM29" s="16">
        <f>AM22</f>
        <v>1</v>
      </c>
      <c r="AN29" s="58"/>
      <c r="AO29" s="58"/>
      <c r="AP29" s="12"/>
      <c r="AQ29" s="58"/>
      <c r="AR29" s="58"/>
      <c r="AS29" s="58"/>
      <c r="AT29" s="58"/>
      <c r="AU29" s="58"/>
      <c r="AV29" s="84"/>
      <c r="AW29" s="364"/>
      <c r="AX29" s="12"/>
      <c r="AY29" s="12"/>
      <c r="AZ29" s="12"/>
      <c r="BA29" s="12"/>
      <c r="BB29" s="12"/>
      <c r="BC29" s="12"/>
      <c r="BD29" s="12"/>
      <c r="BE29" s="12"/>
      <c r="BF29" s="12"/>
      <c r="BG29" s="12"/>
      <c r="BH29" s="12"/>
      <c r="BI29" s="12"/>
      <c r="BJ29" s="12"/>
      <c r="BK29" s="12"/>
      <c r="BL29" s="12"/>
      <c r="BM29" s="12"/>
      <c r="BN29" s="12"/>
      <c r="BO29" s="12"/>
      <c r="BP29" s="356"/>
    </row>
    <row r="30" spans="3:68" ht="15" thickBot="1">
      <c r="F30" s="119">
        <f>L30</f>
        <v>0.4</v>
      </c>
      <c r="G30" s="119">
        <f>L28</f>
        <v>0.45</v>
      </c>
      <c r="H30" s="10"/>
      <c r="L30" s="101">
        <v>0.4</v>
      </c>
      <c r="M30" s="58">
        <v>1.18</v>
      </c>
      <c r="N30" s="278">
        <v>0.67585873246250616</v>
      </c>
      <c r="O30" s="289" t="s">
        <v>73</v>
      </c>
      <c r="S30" t="s">
        <v>112</v>
      </c>
      <c r="AD30" s="355"/>
      <c r="AE30" s="12"/>
      <c r="AF30" s="12"/>
      <c r="AG30" s="170" t="str">
        <f>AG20</f>
        <v>3/8"</v>
      </c>
      <c r="AH30" s="16">
        <f>AH20</f>
        <v>9.5</v>
      </c>
      <c r="AI30" s="16">
        <f>AI20</f>
        <v>2</v>
      </c>
      <c r="AJ30" s="40">
        <f>AJ20</f>
        <v>0.62</v>
      </c>
      <c r="AK30" s="58"/>
      <c r="AL30" s="88">
        <f>AL20</f>
        <v>0.15</v>
      </c>
      <c r="AM30" s="16">
        <f>AM20</f>
        <v>2</v>
      </c>
      <c r="AN30" s="58"/>
      <c r="AO30" s="58"/>
      <c r="AP30" s="12"/>
      <c r="AQ30" s="58"/>
      <c r="AR30" s="58"/>
      <c r="AS30" s="58"/>
      <c r="AT30" s="58"/>
      <c r="AU30" s="58"/>
      <c r="AV30" s="84"/>
      <c r="AW30" s="364"/>
      <c r="AX30" s="12"/>
      <c r="AY30" s="12"/>
      <c r="AZ30" s="12"/>
      <c r="BA30" s="12"/>
      <c r="BB30" s="12"/>
      <c r="BC30" s="12"/>
      <c r="BD30" s="12"/>
      <c r="BE30" s="12"/>
      <c r="BF30" s="12"/>
      <c r="BG30" s="12"/>
      <c r="BH30" s="12"/>
      <c r="BI30" s="12"/>
      <c r="BJ30" s="12"/>
      <c r="BK30" s="12"/>
      <c r="BL30" s="12"/>
      <c r="BM30" s="12"/>
      <c r="BN30" s="12"/>
      <c r="BO30" s="12"/>
      <c r="BP30" s="356"/>
    </row>
    <row r="31" spans="3:68" ht="15" thickBot="1">
      <c r="F31" s="286">
        <f>SUM(F28:F30)</f>
        <v>1</v>
      </c>
      <c r="G31" s="286">
        <f>SUM(G28:G30)</f>
        <v>1</v>
      </c>
      <c r="L31" s="286">
        <f>SUM(L28:L30)</f>
        <v>1</v>
      </c>
      <c r="O31" s="36"/>
      <c r="S31" t="s">
        <v>113</v>
      </c>
      <c r="AD31" s="355"/>
      <c r="AE31" s="12"/>
      <c r="AF31" s="12"/>
      <c r="AG31" s="58"/>
      <c r="AH31" s="58"/>
      <c r="AI31" s="58"/>
      <c r="AJ31" s="58"/>
      <c r="AK31" s="58"/>
      <c r="AL31" s="131">
        <f>SUM(AL28:AL30)</f>
        <v>1</v>
      </c>
      <c r="AM31" s="58"/>
      <c r="AN31" s="58"/>
      <c r="AO31" s="58"/>
      <c r="AP31" s="12"/>
      <c r="AQ31" s="12"/>
      <c r="AR31" s="12"/>
      <c r="AS31" s="12"/>
      <c r="AT31" s="12"/>
      <c r="AU31" s="12"/>
      <c r="AV31" s="12"/>
      <c r="AW31" s="363"/>
      <c r="AX31" s="12"/>
      <c r="AY31" s="12"/>
      <c r="AZ31" s="12"/>
      <c r="BA31" s="12"/>
      <c r="BB31" s="12"/>
      <c r="BC31" s="12"/>
      <c r="BD31" s="12"/>
      <c r="BE31" s="12"/>
      <c r="BF31" s="12"/>
      <c r="BG31" s="12"/>
      <c r="BH31" s="12"/>
      <c r="BI31" s="12"/>
      <c r="BJ31" s="12"/>
      <c r="BK31" s="12"/>
      <c r="BL31" s="12"/>
      <c r="BM31" s="12"/>
      <c r="BN31" s="12"/>
      <c r="BO31" s="12"/>
      <c r="BP31" s="356"/>
    </row>
    <row r="32" spans="3:68" ht="15" thickBot="1">
      <c r="L32" s="36"/>
      <c r="S32" t="s">
        <v>114</v>
      </c>
      <c r="AD32" s="355"/>
      <c r="AE32" s="12"/>
      <c r="AF32" s="12"/>
      <c r="AG32" s="58"/>
      <c r="AH32" s="58"/>
      <c r="AI32" s="338">
        <f>AJ28/(1-(1-AJ28+AE28*AJ28*(1-1/AJ29))*AL29-(1-AF28*AJ28/AJ29)*AL29)</f>
        <v>0.7458303569806688</v>
      </c>
      <c r="AJ32" s="58"/>
      <c r="AK32" s="58"/>
      <c r="AL32" s="58"/>
      <c r="AM32" s="58"/>
      <c r="AN32" s="58"/>
      <c r="AO32" s="58"/>
      <c r="AP32" s="12"/>
      <c r="AQ32" s="10">
        <f>AJ28/(1-(1-AJ28+AJ28*(1-1/AJ29))*AL29-(1-AJ28/AJ29)*AL29)</f>
        <v>0.60937499999999989</v>
      </c>
      <c r="AR32" s="58"/>
      <c r="AS32" s="58"/>
      <c r="AT32" s="58" t="s">
        <v>170</v>
      </c>
      <c r="AU32" s="58"/>
      <c r="AV32" s="58"/>
      <c r="AW32" s="363"/>
      <c r="AX32" s="12"/>
      <c r="AY32" s="12"/>
      <c r="AZ32" s="366" t="s">
        <v>178</v>
      </c>
      <c r="BA32" s="12"/>
      <c r="BB32" s="12"/>
      <c r="BC32" s="12"/>
      <c r="BD32" s="12"/>
      <c r="BE32" s="12"/>
      <c r="BF32" s="12"/>
      <c r="BG32" s="12"/>
      <c r="BH32" s="12"/>
      <c r="BI32" s="12"/>
      <c r="BJ32" s="12"/>
      <c r="BK32" s="12"/>
      <c r="BL32" s="12"/>
      <c r="BM32" s="12"/>
      <c r="BN32" s="12"/>
      <c r="BO32" s="12"/>
      <c r="BP32" s="356"/>
    </row>
    <row r="33" spans="6:68">
      <c r="F33" s="290" t="s">
        <v>129</v>
      </c>
      <c r="G33" s="16" t="s">
        <v>130</v>
      </c>
      <c r="H33" s="16" t="s">
        <v>131</v>
      </c>
      <c r="I33" s="93" t="s">
        <v>132</v>
      </c>
      <c r="J33" s="93" t="s">
        <v>37</v>
      </c>
      <c r="K33" s="93" t="s">
        <v>133</v>
      </c>
      <c r="L33" s="36"/>
      <c r="S33" t="s">
        <v>115</v>
      </c>
      <c r="X33" t="s">
        <v>116</v>
      </c>
      <c r="Z33" t="s">
        <v>117</v>
      </c>
      <c r="AD33" s="355"/>
      <c r="AE33" s="12"/>
      <c r="AF33" s="12"/>
      <c r="AG33" s="12"/>
      <c r="AH33" s="12"/>
      <c r="AI33" s="12"/>
      <c r="AJ33" s="12"/>
      <c r="AK33" s="12"/>
      <c r="AL33" s="12"/>
      <c r="AM33" s="12"/>
      <c r="AN33" s="12"/>
      <c r="AO33" s="12"/>
      <c r="AP33" s="12"/>
      <c r="AQ33" s="12"/>
      <c r="AR33" s="12"/>
      <c r="AS33" s="12"/>
      <c r="AT33" s="12"/>
      <c r="AU33" s="12"/>
      <c r="AV33" s="12"/>
      <c r="AW33" s="363"/>
      <c r="AX33" s="12"/>
      <c r="AY33" s="12"/>
      <c r="AZ33" s="12"/>
      <c r="BA33" s="12"/>
      <c r="BB33" s="12"/>
      <c r="BC33" s="12"/>
      <c r="BD33" s="12"/>
      <c r="BE33" s="12"/>
      <c r="BF33" s="12"/>
      <c r="BG33" s="12"/>
      <c r="BH33" s="12"/>
      <c r="BI33" s="12"/>
      <c r="BJ33" s="12"/>
      <c r="BK33" s="12"/>
      <c r="BL33" s="12"/>
      <c r="BM33" s="12"/>
      <c r="BN33" s="12"/>
      <c r="BO33" s="12"/>
      <c r="BP33" s="356"/>
    </row>
    <row r="34" spans="6:68">
      <c r="F34" s="290">
        <f>F28*G28/(1-F28)</f>
        <v>0.12272727272727273</v>
      </c>
      <c r="G34" s="16">
        <f>G28*F28/(1-G28)</f>
        <v>7.9411764705882362E-2</v>
      </c>
      <c r="H34" s="10">
        <f>F34+G34</f>
        <v>0.20213903743315509</v>
      </c>
      <c r="I34">
        <f>(M28-M29)/(M28+M29)</f>
        <v>0.44927536231884058</v>
      </c>
      <c r="J34">
        <f>G28/F28*N28/(N29*(1-N28))</f>
        <v>0.84576380458333966</v>
      </c>
      <c r="S34" t="s">
        <v>119</v>
      </c>
      <c r="AD34" s="355"/>
      <c r="AE34" s="12"/>
      <c r="AF34" s="12"/>
      <c r="AG34" s="12"/>
      <c r="AH34" s="12"/>
      <c r="AI34" s="12"/>
      <c r="AJ34" s="12"/>
      <c r="AK34" s="12"/>
      <c r="AL34" s="12"/>
      <c r="AM34" s="12"/>
      <c r="AN34" s="12"/>
      <c r="AO34" s="12"/>
      <c r="AP34" s="12"/>
      <c r="AQ34" s="12"/>
      <c r="AR34" s="12"/>
      <c r="AS34" s="12"/>
      <c r="AT34" s="12"/>
      <c r="AU34" s="12"/>
      <c r="AV34" s="12"/>
      <c r="AW34" s="363"/>
      <c r="AX34" s="12"/>
      <c r="AY34" s="12"/>
      <c r="AZ34" s="12" t="s">
        <v>181</v>
      </c>
      <c r="BA34" s="12"/>
      <c r="BB34" s="12"/>
      <c r="BC34" s="12"/>
      <c r="BD34" s="12"/>
      <c r="BE34" s="12"/>
      <c r="BF34" s="12"/>
      <c r="BG34" s="12"/>
      <c r="BH34" s="12"/>
      <c r="BI34" s="12"/>
      <c r="BJ34" s="12"/>
      <c r="BK34" s="12"/>
      <c r="BL34" s="12"/>
      <c r="BM34" s="12"/>
      <c r="BN34" s="12"/>
      <c r="BO34" s="12"/>
      <c r="BP34" s="356"/>
    </row>
    <row r="35" spans="6:68" ht="15" thickBot="1">
      <c r="F35" s="290">
        <f t="shared" ref="F35:F36" si="2">F29*G29/(1-F29)</f>
        <v>7.0588235294117646E-2</v>
      </c>
      <c r="G35" s="16">
        <f t="shared" ref="G35:G36" si="3">G29*F29/(1-G29)</f>
        <v>0.1</v>
      </c>
      <c r="H35" s="10">
        <f t="shared" ref="H35:H36" si="4">F35+G35</f>
        <v>0.17058823529411765</v>
      </c>
      <c r="I35">
        <f>(M29-M30)/(M29+M30)</f>
        <v>0.77902621722846443</v>
      </c>
      <c r="J35">
        <f>G29/F29*N29/(N30*(1-N29))</f>
        <v>6.3345079191304308</v>
      </c>
      <c r="S35" t="s">
        <v>118</v>
      </c>
      <c r="AD35" s="355"/>
      <c r="AE35" s="12"/>
      <c r="AF35" s="12"/>
      <c r="AG35" s="12"/>
      <c r="AH35" s="12"/>
      <c r="AI35" s="12"/>
      <c r="AJ35" s="12"/>
      <c r="AK35" s="12"/>
      <c r="AL35" s="12"/>
      <c r="AM35" s="12"/>
      <c r="AN35" s="12"/>
      <c r="AO35" s="12"/>
      <c r="AP35" s="12"/>
      <c r="AQ35" s="12"/>
      <c r="AR35" s="12"/>
      <c r="AS35" s="12"/>
      <c r="AT35" s="12"/>
      <c r="AU35" s="12"/>
      <c r="AV35" s="12"/>
      <c r="AW35" s="363"/>
      <c r="AX35" s="12"/>
      <c r="AY35" s="12"/>
      <c r="AZ35" s="12" t="s">
        <v>179</v>
      </c>
      <c r="BA35" s="12"/>
      <c r="BB35" s="12"/>
      <c r="BC35" s="12"/>
      <c r="BD35" s="12"/>
      <c r="BE35" s="12"/>
      <c r="BF35" s="12"/>
      <c r="BG35" s="12"/>
      <c r="BH35" s="12"/>
      <c r="BI35" s="12"/>
      <c r="BJ35" s="12"/>
      <c r="BK35" s="12"/>
      <c r="BL35" s="12"/>
      <c r="BM35" s="12"/>
      <c r="BN35" s="12" t="s">
        <v>180</v>
      </c>
      <c r="BO35" s="12"/>
      <c r="BP35" s="356"/>
    </row>
    <row r="36" spans="6:68" ht="15.5" thickTop="1" thickBot="1">
      <c r="F36" s="290">
        <f t="shared" si="2"/>
        <v>0.30000000000000004</v>
      </c>
      <c r="G36" s="16">
        <f t="shared" si="3"/>
        <v>0.32727272727272727</v>
      </c>
      <c r="H36" s="10">
        <f t="shared" si="4"/>
        <v>0.62727272727272732</v>
      </c>
      <c r="I36">
        <f>(M28-M30)/(M28+M30)</f>
        <v>0.90985485103132169</v>
      </c>
      <c r="S36" t="s">
        <v>120</v>
      </c>
      <c r="AD36" s="355"/>
      <c r="AE36" s="12" t="s">
        <v>171</v>
      </c>
      <c r="AF36" s="12"/>
      <c r="AG36" s="12"/>
      <c r="AH36" s="12"/>
      <c r="AI36" s="339">
        <f>MIN(AI16,AI24,AI32)</f>
        <v>0.64805193936620697</v>
      </c>
      <c r="AJ36" s="58"/>
      <c r="AK36" s="58"/>
      <c r="AL36" s="58" t="s">
        <v>169</v>
      </c>
      <c r="AM36" s="58"/>
      <c r="AN36" s="58"/>
      <c r="AO36" s="12"/>
      <c r="AP36" s="12"/>
      <c r="AQ36" s="341">
        <f>MIN(AQ16,AQ24,AQ32)</f>
        <v>0.60586319218241047</v>
      </c>
      <c r="AR36" s="58"/>
      <c r="AS36" s="58"/>
      <c r="AT36" s="58" t="s">
        <v>170</v>
      </c>
      <c r="AU36" s="58"/>
      <c r="AV36" s="58"/>
      <c r="AW36" s="363"/>
      <c r="AX36" s="12"/>
      <c r="AY36" s="12"/>
      <c r="AZ36" s="56" t="s">
        <v>182</v>
      </c>
      <c r="BA36" s="12"/>
      <c r="BB36" s="12"/>
      <c r="BC36" s="12"/>
      <c r="BD36" s="12"/>
      <c r="BE36" s="12"/>
      <c r="BF36" s="12"/>
      <c r="BG36" s="12"/>
      <c r="BH36" s="12"/>
      <c r="BI36" s="12"/>
      <c r="BJ36" s="12"/>
      <c r="BK36" s="12"/>
      <c r="BL36" s="12"/>
      <c r="BM36" s="12"/>
      <c r="BN36" s="12"/>
      <c r="BO36" s="12"/>
      <c r="BP36" s="356"/>
    </row>
    <row r="37" spans="6:68" ht="15" thickTop="1">
      <c r="G37" s="27" t="s">
        <v>50</v>
      </c>
      <c r="H37" s="16">
        <f>SUM(H34:H36)</f>
        <v>1</v>
      </c>
      <c r="S37" t="s">
        <v>121</v>
      </c>
      <c r="AD37" s="355"/>
      <c r="AE37" s="12"/>
      <c r="AF37" s="12"/>
      <c r="AG37" s="12"/>
      <c r="AH37" s="12"/>
      <c r="AI37" s="12"/>
      <c r="AJ37" s="12"/>
      <c r="AK37" s="12"/>
      <c r="AL37" s="12"/>
      <c r="AM37" s="12"/>
      <c r="AN37" s="12"/>
      <c r="AO37" s="12"/>
      <c r="AP37" s="12"/>
      <c r="AQ37" s="12"/>
      <c r="AR37" s="12"/>
      <c r="AS37" s="12"/>
      <c r="AT37" s="12"/>
      <c r="AU37" s="12"/>
      <c r="AV37" s="12"/>
      <c r="AW37" s="363"/>
      <c r="AX37" s="12"/>
      <c r="AY37" s="12"/>
      <c r="AZ37" s="12"/>
      <c r="BA37" s="12"/>
      <c r="BB37" s="12"/>
      <c r="BC37" s="12"/>
      <c r="BD37" s="12"/>
      <c r="BE37" s="12"/>
      <c r="BF37" s="12"/>
      <c r="BG37" s="12"/>
      <c r="BH37" s="12"/>
      <c r="BI37" s="12"/>
      <c r="BJ37" s="12"/>
      <c r="BK37" s="12"/>
      <c r="BL37" s="12"/>
      <c r="BM37" s="12"/>
      <c r="BN37" s="12"/>
      <c r="BO37" s="12"/>
      <c r="BP37" s="356"/>
    </row>
    <row r="38" spans="6:68">
      <c r="S38" t="s">
        <v>122</v>
      </c>
      <c r="AD38" s="355"/>
      <c r="AE38" s="12"/>
      <c r="AF38" s="12"/>
      <c r="AG38" s="12"/>
      <c r="AH38" s="12"/>
      <c r="AI38" s="12"/>
      <c r="AJ38" s="12"/>
      <c r="AK38" s="12"/>
      <c r="AL38" s="12"/>
      <c r="AM38" s="12"/>
      <c r="AN38" s="12"/>
      <c r="AO38" s="12"/>
      <c r="AP38" s="12"/>
      <c r="AQ38" s="12"/>
      <c r="AR38" s="12"/>
      <c r="AS38" s="12"/>
      <c r="AT38" s="12"/>
      <c r="AU38" s="12"/>
      <c r="AV38" s="12"/>
      <c r="AW38" s="363"/>
      <c r="AX38" s="12"/>
      <c r="AY38" s="12"/>
      <c r="AZ38" s="12"/>
      <c r="BA38" s="12"/>
      <c r="BB38" s="12"/>
      <c r="BC38" s="12"/>
      <c r="BD38" s="12"/>
      <c r="BE38" s="12"/>
      <c r="BF38" s="12"/>
      <c r="BG38" s="12"/>
      <c r="BH38" s="12"/>
      <c r="BI38" s="12"/>
      <c r="BJ38" s="12"/>
      <c r="BK38" s="12"/>
      <c r="BL38" s="12"/>
      <c r="BM38" s="12"/>
      <c r="BN38" s="12"/>
      <c r="BO38" s="12"/>
      <c r="BP38" s="356"/>
    </row>
    <row r="39" spans="6:68" ht="15" thickBot="1">
      <c r="AA39" s="36"/>
      <c r="AD39" s="359"/>
      <c r="AE39" s="360"/>
      <c r="AF39" s="360"/>
      <c r="AG39" s="360"/>
      <c r="AH39" s="360"/>
      <c r="AI39" s="360"/>
      <c r="AJ39" s="360"/>
      <c r="AK39" s="360"/>
      <c r="AL39" s="360"/>
      <c r="AM39" s="360"/>
      <c r="AN39" s="360"/>
      <c r="AO39" s="360"/>
      <c r="AP39" s="360"/>
      <c r="AQ39" s="360"/>
      <c r="AR39" s="360"/>
      <c r="AS39" s="360"/>
      <c r="AT39" s="360"/>
      <c r="AU39" s="360"/>
      <c r="AV39" s="360"/>
      <c r="AW39" s="365"/>
      <c r="AX39" s="360"/>
      <c r="AY39" s="360"/>
      <c r="AZ39" s="360"/>
      <c r="BA39" s="360"/>
      <c r="BB39" s="360"/>
      <c r="BC39" s="360"/>
      <c r="BD39" s="360"/>
      <c r="BE39" s="360"/>
      <c r="BF39" s="360"/>
      <c r="BG39" s="360"/>
      <c r="BH39" s="360"/>
      <c r="BI39" s="360"/>
      <c r="BJ39" s="360"/>
      <c r="BK39" s="360"/>
      <c r="BL39" s="360"/>
      <c r="BM39" s="360"/>
      <c r="BN39" s="360"/>
      <c r="BO39" s="360"/>
      <c r="BP39" s="361"/>
    </row>
    <row r="40" spans="6:68">
      <c r="AB40" s="10" t="s">
        <v>125</v>
      </c>
      <c r="AC40" s="16" t="s">
        <v>22</v>
      </c>
    </row>
    <row r="41" spans="6:68">
      <c r="U41" s="279"/>
      <c r="AB41" s="280"/>
      <c r="AC41" s="281">
        <v>1.5</v>
      </c>
    </row>
    <row r="42" spans="6:68" ht="15" thickBot="1">
      <c r="U42" s="15"/>
      <c r="AB42" s="39" t="s">
        <v>3</v>
      </c>
      <c r="AC42" s="282">
        <v>1</v>
      </c>
    </row>
    <row r="43" spans="6:68" ht="15" thickBot="1">
      <c r="F43" s="36" t="s">
        <v>136</v>
      </c>
      <c r="G43" s="36" t="s">
        <v>139</v>
      </c>
      <c r="H43" s="36" t="s">
        <v>138</v>
      </c>
      <c r="I43" s="36" t="s">
        <v>37</v>
      </c>
      <c r="J43" t="s">
        <v>137</v>
      </c>
      <c r="K43" t="s">
        <v>135</v>
      </c>
      <c r="L43" t="s">
        <v>124</v>
      </c>
      <c r="M43" t="s">
        <v>124</v>
      </c>
      <c r="N43" s="279" t="s">
        <v>126</v>
      </c>
      <c r="O43" s="10" t="s">
        <v>100</v>
      </c>
      <c r="P43" s="287" t="s">
        <v>127</v>
      </c>
      <c r="AB43" s="39" t="s">
        <v>6</v>
      </c>
      <c r="AC43" s="283">
        <v>0.75</v>
      </c>
      <c r="AD43" s="135">
        <v>19</v>
      </c>
    </row>
    <row r="44" spans="6:68" ht="15" thickBot="1">
      <c r="F44">
        <f>1-(H44/G44)</f>
        <v>0.73110634319444667</v>
      </c>
      <c r="G44">
        <f>(1+I44)^4</f>
        <v>20.494125285730188</v>
      </c>
      <c r="H44">
        <f>1+4*I44</f>
        <v>5.5107402911111452</v>
      </c>
      <c r="I44">
        <f>L45*O44/(L44*O45*(1-O44))</f>
        <v>1.1276850727777863</v>
      </c>
      <c r="J44" s="4">
        <f>L44/L45</f>
        <v>2.25</v>
      </c>
      <c r="K44">
        <f>(N44-N45)/(N44+N45)</f>
        <v>0.44927536231884058</v>
      </c>
      <c r="L44" s="285">
        <f>M44/(M44+M45)</f>
        <v>0.69230769230769229</v>
      </c>
      <c r="M44" s="60">
        <v>0.45</v>
      </c>
      <c r="N44" s="279">
        <v>25</v>
      </c>
      <c r="O44" s="277">
        <v>0.60990162876955345</v>
      </c>
      <c r="P44" s="288" t="s">
        <v>14</v>
      </c>
      <c r="AB44" s="39" t="s">
        <v>1</v>
      </c>
      <c r="AC44" s="283">
        <v>0.5</v>
      </c>
      <c r="AD44" s="135">
        <v>12.5</v>
      </c>
    </row>
    <row r="45" spans="6:68" ht="15" thickBot="1">
      <c r="L45" s="101">
        <f>M45/(M44+M45)</f>
        <v>0.30769230769230771</v>
      </c>
      <c r="M45" s="60">
        <v>0.2</v>
      </c>
      <c r="N45" s="36">
        <v>9.5</v>
      </c>
      <c r="O45" s="278">
        <v>0.61619093694565397</v>
      </c>
      <c r="P45" s="289" t="s">
        <v>4</v>
      </c>
      <c r="AB45" s="39" t="s">
        <v>4</v>
      </c>
      <c r="AC45" s="135">
        <f>3/8</f>
        <v>0.375</v>
      </c>
      <c r="AD45" s="135">
        <v>9.5</v>
      </c>
    </row>
    <row r="46" spans="6:68" ht="15" thickBot="1">
      <c r="L46" s="101"/>
      <c r="M46" s="60">
        <v>0.35</v>
      </c>
      <c r="N46" s="58">
        <v>1.18</v>
      </c>
      <c r="O46" s="278">
        <v>0.67585873246250616</v>
      </c>
      <c r="P46" s="289" t="s">
        <v>73</v>
      </c>
      <c r="AB46" s="284" t="s">
        <v>2</v>
      </c>
      <c r="AC46" s="12">
        <f t="shared" ref="AC46:AC51" si="5">AD46/25.4</f>
        <v>0.18700787401574803</v>
      </c>
      <c r="AD46" s="135">
        <v>4.75</v>
      </c>
    </row>
    <row r="47" spans="6:68">
      <c r="L47" s="286">
        <f>SUM(L44:L45)</f>
        <v>1</v>
      </c>
      <c r="M47" s="60">
        <f>SUM(M44:M46)</f>
        <v>1</v>
      </c>
      <c r="O47" s="36"/>
      <c r="AB47" s="39" t="s">
        <v>5</v>
      </c>
      <c r="AC47" s="12">
        <f t="shared" si="5"/>
        <v>9.2913385826771652E-2</v>
      </c>
      <c r="AD47" s="135">
        <v>2.36</v>
      </c>
    </row>
    <row r="48" spans="6:68" ht="15" thickBot="1">
      <c r="AB48" s="39" t="s">
        <v>7</v>
      </c>
      <c r="AC48" s="12">
        <f t="shared" si="5"/>
        <v>4.6456692913385826E-2</v>
      </c>
      <c r="AD48" s="135">
        <v>1.18</v>
      </c>
    </row>
    <row r="49" spans="6:30">
      <c r="L49" s="291" t="s">
        <v>143</v>
      </c>
      <c r="M49" s="292" t="s">
        <v>142</v>
      </c>
      <c r="N49" s="293" t="s">
        <v>141</v>
      </c>
      <c r="O49" s="294" t="s">
        <v>140</v>
      </c>
      <c r="AB49" s="39" t="s">
        <v>8</v>
      </c>
      <c r="AC49" s="12">
        <f t="shared" si="5"/>
        <v>2.3622047244094488E-2</v>
      </c>
      <c r="AD49" s="135">
        <v>0.6</v>
      </c>
    </row>
    <row r="50" spans="6:30" ht="15" thickBot="1">
      <c r="L50" s="295">
        <f>1/(O50+N50-M50)</f>
        <v>0.67158635679454437</v>
      </c>
      <c r="M50" s="296">
        <f>((1/O44)-1)*L44*K44*F44</f>
        <v>0.14544763234174285</v>
      </c>
      <c r="N50" s="296">
        <f>L44/O44</f>
        <v>1.1351136964569009</v>
      </c>
      <c r="O50" s="297">
        <f>L45/O45</f>
        <v>0.499345721015441</v>
      </c>
      <c r="AB50" s="39" t="s">
        <v>9</v>
      </c>
      <c r="AC50" s="12">
        <f t="shared" si="5"/>
        <v>1.1811023622047244E-2</v>
      </c>
      <c r="AD50" s="135">
        <v>0.3</v>
      </c>
    </row>
    <row r="51" spans="6:30">
      <c r="AB51" s="40" t="s">
        <v>10</v>
      </c>
      <c r="AC51" s="132">
        <f t="shared" si="5"/>
        <v>5.905511811023622E-3</v>
      </c>
      <c r="AD51" s="29">
        <v>0.15</v>
      </c>
    </row>
    <row r="52" spans="6:30" ht="15" thickBot="1"/>
    <row r="53" spans="6:30" ht="15" thickBot="1">
      <c r="F53" s="36" t="s">
        <v>136</v>
      </c>
      <c r="G53" s="36" t="s">
        <v>139</v>
      </c>
      <c r="H53" s="36" t="s">
        <v>138</v>
      </c>
      <c r="I53" s="36" t="s">
        <v>37</v>
      </c>
      <c r="J53" t="s">
        <v>137</v>
      </c>
      <c r="K53" t="s">
        <v>135</v>
      </c>
      <c r="L53" t="s">
        <v>124</v>
      </c>
      <c r="M53" t="s">
        <v>124</v>
      </c>
      <c r="N53" t="s">
        <v>145</v>
      </c>
      <c r="O53" s="279" t="s">
        <v>126</v>
      </c>
      <c r="P53" s="10" t="s">
        <v>100</v>
      </c>
      <c r="Q53" s="287" t="s">
        <v>127</v>
      </c>
    </row>
    <row r="54" spans="6:30" ht="15" thickBot="1">
      <c r="L54" s="285"/>
      <c r="M54" s="60">
        <v>0.45</v>
      </c>
      <c r="O54" s="279">
        <v>25</v>
      </c>
      <c r="P54" s="277">
        <v>0.60990162876955345</v>
      </c>
      <c r="Q54" s="288" t="s">
        <v>14</v>
      </c>
    </row>
    <row r="55" spans="6:30" ht="15" thickBot="1">
      <c r="F55">
        <f>1-(H55/G55)</f>
        <v>0.97507646992897068</v>
      </c>
      <c r="G55">
        <f>(1+I55)^4</f>
        <v>707.28677829662468</v>
      </c>
      <c r="H55">
        <f>1+4*I55</f>
        <v>17.628083287717374</v>
      </c>
      <c r="I55">
        <f>M56/M55*P55/P56/(1-P55)</f>
        <v>4.1570208219293434</v>
      </c>
      <c r="J55" s="4">
        <f>M56/M55</f>
        <v>1.7499999999999998</v>
      </c>
      <c r="K55">
        <f>(O55-O56)/(O55+O56)</f>
        <v>0.77902621722846443</v>
      </c>
      <c r="L55" s="101">
        <f>M55/(M55+M56)</f>
        <v>0.36363636363636365</v>
      </c>
      <c r="M55" s="60">
        <v>0.2</v>
      </c>
      <c r="N55">
        <v>15</v>
      </c>
      <c r="O55" s="36">
        <v>9.5</v>
      </c>
      <c r="P55" s="278">
        <v>0.61619093694565397</v>
      </c>
      <c r="Q55" s="289" t="s">
        <v>4</v>
      </c>
    </row>
    <row r="56" spans="6:30" ht="15" thickBot="1">
      <c r="L56" s="101">
        <f>M56/(M55+M56)</f>
        <v>0.63636363636363624</v>
      </c>
      <c r="M56" s="60">
        <v>0.35</v>
      </c>
      <c r="N56">
        <v>1.18</v>
      </c>
      <c r="O56" s="58">
        <v>1.18</v>
      </c>
      <c r="P56" s="278">
        <v>0.67585873246250616</v>
      </c>
      <c r="Q56" s="289" t="s">
        <v>73</v>
      </c>
    </row>
    <row r="57" spans="6:30">
      <c r="L57" s="286">
        <f>SUM(L55:L56)</f>
        <v>0.99999999999999989</v>
      </c>
      <c r="M57" s="60">
        <f>SUM(M54:M56)</f>
        <v>1</v>
      </c>
      <c r="O57" s="36"/>
    </row>
    <row r="58" spans="6:30" ht="15" thickBot="1"/>
    <row r="59" spans="6:30">
      <c r="L59" s="342" t="s">
        <v>143</v>
      </c>
      <c r="M59" s="292" t="s">
        <v>142</v>
      </c>
      <c r="N59" s="293" t="s">
        <v>141</v>
      </c>
      <c r="O59" s="294" t="s">
        <v>140</v>
      </c>
    </row>
    <row r="60" spans="6:30" ht="15" thickBot="1">
      <c r="L60" s="343">
        <f>1/(O60+N60-M60)</f>
        <v>0.69585997676124411</v>
      </c>
      <c r="M60" s="296">
        <f>((1/P55)-1)*M55*K55*F55</f>
        <v>9.4628218719071247E-2</v>
      </c>
      <c r="N60" s="296">
        <f>L55/P55</f>
        <v>0.59013585210915753</v>
      </c>
      <c r="O60" s="297">
        <f>L56/P56</f>
        <v>0.94156308973774938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P35"/>
  <sheetViews>
    <sheetView showGridLines="0" showRowColHeaders="0" tabSelected="1" topLeftCell="A4" zoomScale="90" zoomScaleNormal="90" workbookViewId="0">
      <selection activeCell="D10" sqref="D10:P10"/>
    </sheetView>
  </sheetViews>
  <sheetFormatPr defaultRowHeight="12.5"/>
  <cols>
    <col min="1" max="2" width="8.81640625" style="446"/>
    <col min="3" max="3" width="28.81640625" style="446" customWidth="1"/>
    <col min="4" max="11" width="8.81640625" style="446"/>
    <col min="12" max="12" width="11.81640625" style="446" customWidth="1"/>
    <col min="13" max="258" width="8.81640625" style="446"/>
    <col min="259" max="259" width="28.81640625" style="446" customWidth="1"/>
    <col min="260" max="267" width="8.81640625" style="446"/>
    <col min="268" max="268" width="11.81640625" style="446" customWidth="1"/>
    <col min="269" max="514" width="8.81640625" style="446"/>
    <col min="515" max="515" width="28.81640625" style="446" customWidth="1"/>
    <col min="516" max="523" width="8.81640625" style="446"/>
    <col min="524" max="524" width="11.81640625" style="446" customWidth="1"/>
    <col min="525" max="770" width="8.81640625" style="446"/>
    <col min="771" max="771" width="28.81640625" style="446" customWidth="1"/>
    <col min="772" max="779" width="8.81640625" style="446"/>
    <col min="780" max="780" width="11.81640625" style="446" customWidth="1"/>
    <col min="781" max="1026" width="8.81640625" style="446"/>
    <col min="1027" max="1027" width="28.81640625" style="446" customWidth="1"/>
    <col min="1028" max="1035" width="8.81640625" style="446"/>
    <col min="1036" max="1036" width="11.81640625" style="446" customWidth="1"/>
    <col min="1037" max="1282" width="8.81640625" style="446"/>
    <col min="1283" max="1283" width="28.81640625" style="446" customWidth="1"/>
    <col min="1284" max="1291" width="8.81640625" style="446"/>
    <col min="1292" max="1292" width="11.81640625" style="446" customWidth="1"/>
    <col min="1293" max="1538" width="8.81640625" style="446"/>
    <col min="1539" max="1539" width="28.81640625" style="446" customWidth="1"/>
    <col min="1540" max="1547" width="8.81640625" style="446"/>
    <col min="1548" max="1548" width="11.81640625" style="446" customWidth="1"/>
    <col min="1549" max="1794" width="8.81640625" style="446"/>
    <col min="1795" max="1795" width="28.81640625" style="446" customWidth="1"/>
    <col min="1796" max="1803" width="8.81640625" style="446"/>
    <col min="1804" max="1804" width="11.81640625" style="446" customWidth="1"/>
    <col min="1805" max="2050" width="8.81640625" style="446"/>
    <col min="2051" max="2051" width="28.81640625" style="446" customWidth="1"/>
    <col min="2052" max="2059" width="8.81640625" style="446"/>
    <col min="2060" max="2060" width="11.81640625" style="446" customWidth="1"/>
    <col min="2061" max="2306" width="8.81640625" style="446"/>
    <col min="2307" max="2307" width="28.81640625" style="446" customWidth="1"/>
    <col min="2308" max="2315" width="8.81640625" style="446"/>
    <col min="2316" max="2316" width="11.81640625" style="446" customWidth="1"/>
    <col min="2317" max="2562" width="8.81640625" style="446"/>
    <col min="2563" max="2563" width="28.81640625" style="446" customWidth="1"/>
    <col min="2564" max="2571" width="8.81640625" style="446"/>
    <col min="2572" max="2572" width="11.81640625" style="446" customWidth="1"/>
    <col min="2573" max="2818" width="8.81640625" style="446"/>
    <col min="2819" max="2819" width="28.81640625" style="446" customWidth="1"/>
    <col min="2820" max="2827" width="8.81640625" style="446"/>
    <col min="2828" max="2828" width="11.81640625" style="446" customWidth="1"/>
    <col min="2829" max="3074" width="8.81640625" style="446"/>
    <col min="3075" max="3075" width="28.81640625" style="446" customWidth="1"/>
    <col min="3076" max="3083" width="8.81640625" style="446"/>
    <col min="3084" max="3084" width="11.81640625" style="446" customWidth="1"/>
    <col min="3085" max="3330" width="8.81640625" style="446"/>
    <col min="3331" max="3331" width="28.81640625" style="446" customWidth="1"/>
    <col min="3332" max="3339" width="8.81640625" style="446"/>
    <col min="3340" max="3340" width="11.81640625" style="446" customWidth="1"/>
    <col min="3341" max="3586" width="8.81640625" style="446"/>
    <col min="3587" max="3587" width="28.81640625" style="446" customWidth="1"/>
    <col min="3588" max="3595" width="8.81640625" style="446"/>
    <col min="3596" max="3596" width="11.81640625" style="446" customWidth="1"/>
    <col min="3597" max="3842" width="8.81640625" style="446"/>
    <col min="3843" max="3843" width="28.81640625" style="446" customWidth="1"/>
    <col min="3844" max="3851" width="8.81640625" style="446"/>
    <col min="3852" max="3852" width="11.81640625" style="446" customWidth="1"/>
    <col min="3853" max="4098" width="8.81640625" style="446"/>
    <col min="4099" max="4099" width="28.81640625" style="446" customWidth="1"/>
    <col min="4100" max="4107" width="8.81640625" style="446"/>
    <col min="4108" max="4108" width="11.81640625" style="446" customWidth="1"/>
    <col min="4109" max="4354" width="8.81640625" style="446"/>
    <col min="4355" max="4355" width="28.81640625" style="446" customWidth="1"/>
    <col min="4356" max="4363" width="8.81640625" style="446"/>
    <col min="4364" max="4364" width="11.81640625" style="446" customWidth="1"/>
    <col min="4365" max="4610" width="8.81640625" style="446"/>
    <col min="4611" max="4611" width="28.81640625" style="446" customWidth="1"/>
    <col min="4612" max="4619" width="8.81640625" style="446"/>
    <col min="4620" max="4620" width="11.81640625" style="446" customWidth="1"/>
    <col min="4621" max="4866" width="8.81640625" style="446"/>
    <col min="4867" max="4867" width="28.81640625" style="446" customWidth="1"/>
    <col min="4868" max="4875" width="8.81640625" style="446"/>
    <col min="4876" max="4876" width="11.81640625" style="446" customWidth="1"/>
    <col min="4877" max="5122" width="8.81640625" style="446"/>
    <col min="5123" max="5123" width="28.81640625" style="446" customWidth="1"/>
    <col min="5124" max="5131" width="8.81640625" style="446"/>
    <col min="5132" max="5132" width="11.81640625" style="446" customWidth="1"/>
    <col min="5133" max="5378" width="8.81640625" style="446"/>
    <col min="5379" max="5379" width="28.81640625" style="446" customWidth="1"/>
    <col min="5380" max="5387" width="8.81640625" style="446"/>
    <col min="5388" max="5388" width="11.81640625" style="446" customWidth="1"/>
    <col min="5389" max="5634" width="8.81640625" style="446"/>
    <col min="5635" max="5635" width="28.81640625" style="446" customWidth="1"/>
    <col min="5636" max="5643" width="8.81640625" style="446"/>
    <col min="5644" max="5644" width="11.81640625" style="446" customWidth="1"/>
    <col min="5645" max="5890" width="8.81640625" style="446"/>
    <col min="5891" max="5891" width="28.81640625" style="446" customWidth="1"/>
    <col min="5892" max="5899" width="8.81640625" style="446"/>
    <col min="5900" max="5900" width="11.81640625" style="446" customWidth="1"/>
    <col min="5901" max="6146" width="8.81640625" style="446"/>
    <col min="6147" max="6147" width="28.81640625" style="446" customWidth="1"/>
    <col min="6148" max="6155" width="8.81640625" style="446"/>
    <col min="6156" max="6156" width="11.81640625" style="446" customWidth="1"/>
    <col min="6157" max="6402" width="8.81640625" style="446"/>
    <col min="6403" max="6403" width="28.81640625" style="446" customWidth="1"/>
    <col min="6404" max="6411" width="8.81640625" style="446"/>
    <col min="6412" max="6412" width="11.81640625" style="446" customWidth="1"/>
    <col min="6413" max="6658" width="8.81640625" style="446"/>
    <col min="6659" max="6659" width="28.81640625" style="446" customWidth="1"/>
    <col min="6660" max="6667" width="8.81640625" style="446"/>
    <col min="6668" max="6668" width="11.81640625" style="446" customWidth="1"/>
    <col min="6669" max="6914" width="8.81640625" style="446"/>
    <col min="6915" max="6915" width="28.81640625" style="446" customWidth="1"/>
    <col min="6916" max="6923" width="8.81640625" style="446"/>
    <col min="6924" max="6924" width="11.81640625" style="446" customWidth="1"/>
    <col min="6925" max="7170" width="8.81640625" style="446"/>
    <col min="7171" max="7171" width="28.81640625" style="446" customWidth="1"/>
    <col min="7172" max="7179" width="8.81640625" style="446"/>
    <col min="7180" max="7180" width="11.81640625" style="446" customWidth="1"/>
    <col min="7181" max="7426" width="8.81640625" style="446"/>
    <col min="7427" max="7427" width="28.81640625" style="446" customWidth="1"/>
    <col min="7428" max="7435" width="8.81640625" style="446"/>
    <col min="7436" max="7436" width="11.81640625" style="446" customWidth="1"/>
    <col min="7437" max="7682" width="8.81640625" style="446"/>
    <col min="7683" max="7683" width="28.81640625" style="446" customWidth="1"/>
    <col min="7684" max="7691" width="8.81640625" style="446"/>
    <col min="7692" max="7692" width="11.81640625" style="446" customWidth="1"/>
    <col min="7693" max="7938" width="8.81640625" style="446"/>
    <col min="7939" max="7939" width="28.81640625" style="446" customWidth="1"/>
    <col min="7940" max="7947" width="8.81640625" style="446"/>
    <col min="7948" max="7948" width="11.81640625" style="446" customWidth="1"/>
    <col min="7949" max="8194" width="8.81640625" style="446"/>
    <col min="8195" max="8195" width="28.81640625" style="446" customWidth="1"/>
    <col min="8196" max="8203" width="8.81640625" style="446"/>
    <col min="8204" max="8204" width="11.81640625" style="446" customWidth="1"/>
    <col min="8205" max="8450" width="8.81640625" style="446"/>
    <col min="8451" max="8451" width="28.81640625" style="446" customWidth="1"/>
    <col min="8452" max="8459" width="8.81640625" style="446"/>
    <col min="8460" max="8460" width="11.81640625" style="446" customWidth="1"/>
    <col min="8461" max="8706" width="8.81640625" style="446"/>
    <col min="8707" max="8707" width="28.81640625" style="446" customWidth="1"/>
    <col min="8708" max="8715" width="8.81640625" style="446"/>
    <col min="8716" max="8716" width="11.81640625" style="446" customWidth="1"/>
    <col min="8717" max="8962" width="8.81640625" style="446"/>
    <col min="8963" max="8963" width="28.81640625" style="446" customWidth="1"/>
    <col min="8964" max="8971" width="8.81640625" style="446"/>
    <col min="8972" max="8972" width="11.81640625" style="446" customWidth="1"/>
    <col min="8973" max="9218" width="8.81640625" style="446"/>
    <col min="9219" max="9219" width="28.81640625" style="446" customWidth="1"/>
    <col min="9220" max="9227" width="8.81640625" style="446"/>
    <col min="9228" max="9228" width="11.81640625" style="446" customWidth="1"/>
    <col min="9229" max="9474" width="8.81640625" style="446"/>
    <col min="9475" max="9475" width="28.81640625" style="446" customWidth="1"/>
    <col min="9476" max="9483" width="8.81640625" style="446"/>
    <col min="9484" max="9484" width="11.81640625" style="446" customWidth="1"/>
    <col min="9485" max="9730" width="8.81640625" style="446"/>
    <col min="9731" max="9731" width="28.81640625" style="446" customWidth="1"/>
    <col min="9732" max="9739" width="8.81640625" style="446"/>
    <col min="9740" max="9740" width="11.81640625" style="446" customWidth="1"/>
    <col min="9741" max="9986" width="8.81640625" style="446"/>
    <col min="9987" max="9987" width="28.81640625" style="446" customWidth="1"/>
    <col min="9988" max="9995" width="8.81640625" style="446"/>
    <col min="9996" max="9996" width="11.81640625" style="446" customWidth="1"/>
    <col min="9997" max="10242" width="8.81640625" style="446"/>
    <col min="10243" max="10243" width="28.81640625" style="446" customWidth="1"/>
    <col min="10244" max="10251" width="8.81640625" style="446"/>
    <col min="10252" max="10252" width="11.81640625" style="446" customWidth="1"/>
    <col min="10253" max="10498" width="8.81640625" style="446"/>
    <col min="10499" max="10499" width="28.81640625" style="446" customWidth="1"/>
    <col min="10500" max="10507" width="8.81640625" style="446"/>
    <col min="10508" max="10508" width="11.81640625" style="446" customWidth="1"/>
    <col min="10509" max="10754" width="8.81640625" style="446"/>
    <col min="10755" max="10755" width="28.81640625" style="446" customWidth="1"/>
    <col min="10756" max="10763" width="8.81640625" style="446"/>
    <col min="10764" max="10764" width="11.81640625" style="446" customWidth="1"/>
    <col min="10765" max="11010" width="8.81640625" style="446"/>
    <col min="11011" max="11011" width="28.81640625" style="446" customWidth="1"/>
    <col min="11012" max="11019" width="8.81640625" style="446"/>
    <col min="11020" max="11020" width="11.81640625" style="446" customWidth="1"/>
    <col min="11021" max="11266" width="8.81640625" style="446"/>
    <col min="11267" max="11267" width="28.81640625" style="446" customWidth="1"/>
    <col min="11268" max="11275" width="8.81640625" style="446"/>
    <col min="11276" max="11276" width="11.81640625" style="446" customWidth="1"/>
    <col min="11277" max="11522" width="8.81640625" style="446"/>
    <col min="11523" max="11523" width="28.81640625" style="446" customWidth="1"/>
    <col min="11524" max="11531" width="8.81640625" style="446"/>
    <col min="11532" max="11532" width="11.81640625" style="446" customWidth="1"/>
    <col min="11533" max="11778" width="8.81640625" style="446"/>
    <col min="11779" max="11779" width="28.81640625" style="446" customWidth="1"/>
    <col min="11780" max="11787" width="8.81640625" style="446"/>
    <col min="11788" max="11788" width="11.81640625" style="446" customWidth="1"/>
    <col min="11789" max="12034" width="8.81640625" style="446"/>
    <col min="12035" max="12035" width="28.81640625" style="446" customWidth="1"/>
    <col min="12036" max="12043" width="8.81640625" style="446"/>
    <col min="12044" max="12044" width="11.81640625" style="446" customWidth="1"/>
    <col min="12045" max="12290" width="8.81640625" style="446"/>
    <col min="12291" max="12291" width="28.81640625" style="446" customWidth="1"/>
    <col min="12292" max="12299" width="8.81640625" style="446"/>
    <col min="12300" max="12300" width="11.81640625" style="446" customWidth="1"/>
    <col min="12301" max="12546" width="8.81640625" style="446"/>
    <col min="12547" max="12547" width="28.81640625" style="446" customWidth="1"/>
    <col min="12548" max="12555" width="8.81640625" style="446"/>
    <col min="12556" max="12556" width="11.81640625" style="446" customWidth="1"/>
    <col min="12557" max="12802" width="8.81640625" style="446"/>
    <col min="12803" max="12803" width="28.81640625" style="446" customWidth="1"/>
    <col min="12804" max="12811" width="8.81640625" style="446"/>
    <col min="12812" max="12812" width="11.81640625" style="446" customWidth="1"/>
    <col min="12813" max="13058" width="8.81640625" style="446"/>
    <col min="13059" max="13059" width="28.81640625" style="446" customWidth="1"/>
    <col min="13060" max="13067" width="8.81640625" style="446"/>
    <col min="13068" max="13068" width="11.81640625" style="446" customWidth="1"/>
    <col min="13069" max="13314" width="8.81640625" style="446"/>
    <col min="13315" max="13315" width="28.81640625" style="446" customWidth="1"/>
    <col min="13316" max="13323" width="8.81640625" style="446"/>
    <col min="13324" max="13324" width="11.81640625" style="446" customWidth="1"/>
    <col min="13325" max="13570" width="8.81640625" style="446"/>
    <col min="13571" max="13571" width="28.81640625" style="446" customWidth="1"/>
    <col min="13572" max="13579" width="8.81640625" style="446"/>
    <col min="13580" max="13580" width="11.81640625" style="446" customWidth="1"/>
    <col min="13581" max="13826" width="8.81640625" style="446"/>
    <col min="13827" max="13827" width="28.81640625" style="446" customWidth="1"/>
    <col min="13828" max="13835" width="8.81640625" style="446"/>
    <col min="13836" max="13836" width="11.81640625" style="446" customWidth="1"/>
    <col min="13837" max="14082" width="8.81640625" style="446"/>
    <col min="14083" max="14083" width="28.81640625" style="446" customWidth="1"/>
    <col min="14084" max="14091" width="8.81640625" style="446"/>
    <col min="14092" max="14092" width="11.81640625" style="446" customWidth="1"/>
    <col min="14093" max="14338" width="8.81640625" style="446"/>
    <col min="14339" max="14339" width="28.81640625" style="446" customWidth="1"/>
    <col min="14340" max="14347" width="8.81640625" style="446"/>
    <col min="14348" max="14348" width="11.81640625" style="446" customWidth="1"/>
    <col min="14349" max="14594" width="8.81640625" style="446"/>
    <col min="14595" max="14595" width="28.81640625" style="446" customWidth="1"/>
    <col min="14596" max="14603" width="8.81640625" style="446"/>
    <col min="14604" max="14604" width="11.81640625" style="446" customWidth="1"/>
    <col min="14605" max="14850" width="8.81640625" style="446"/>
    <col min="14851" max="14851" width="28.81640625" style="446" customWidth="1"/>
    <col min="14852" max="14859" width="8.81640625" style="446"/>
    <col min="14860" max="14860" width="11.81640625" style="446" customWidth="1"/>
    <col min="14861" max="15106" width="8.81640625" style="446"/>
    <col min="15107" max="15107" width="28.81640625" style="446" customWidth="1"/>
    <col min="15108" max="15115" width="8.81640625" style="446"/>
    <col min="15116" max="15116" width="11.81640625" style="446" customWidth="1"/>
    <col min="15117" max="15362" width="8.81640625" style="446"/>
    <col min="15363" max="15363" width="28.81640625" style="446" customWidth="1"/>
    <col min="15364" max="15371" width="8.81640625" style="446"/>
    <col min="15372" max="15372" width="11.81640625" style="446" customWidth="1"/>
    <col min="15373" max="15618" width="8.81640625" style="446"/>
    <col min="15619" max="15619" width="28.81640625" style="446" customWidth="1"/>
    <col min="15620" max="15627" width="8.81640625" style="446"/>
    <col min="15628" max="15628" width="11.81640625" style="446" customWidth="1"/>
    <col min="15629" max="15874" width="8.81640625" style="446"/>
    <col min="15875" max="15875" width="28.81640625" style="446" customWidth="1"/>
    <col min="15876" max="15883" width="8.81640625" style="446"/>
    <col min="15884" max="15884" width="11.81640625" style="446" customWidth="1"/>
    <col min="15885" max="16130" width="8.81640625" style="446"/>
    <col min="16131" max="16131" width="28.81640625" style="446" customWidth="1"/>
    <col min="16132" max="16139" width="8.81640625" style="446"/>
    <col min="16140" max="16140" width="11.81640625" style="446" customWidth="1"/>
    <col min="16141" max="16384" width="8.81640625" style="446"/>
  </cols>
  <sheetData>
    <row r="1" spans="1:16" ht="55.5" customHeight="1">
      <c r="A1" s="674" t="s">
        <v>386</v>
      </c>
      <c r="B1" s="674"/>
      <c r="C1" s="674"/>
      <c r="D1" s="674"/>
      <c r="E1" s="674"/>
      <c r="F1" s="674"/>
      <c r="G1" s="674"/>
      <c r="H1" s="674"/>
      <c r="I1" s="674"/>
      <c r="J1" s="674"/>
      <c r="K1" s="674"/>
      <c r="L1" s="674"/>
      <c r="M1" s="674"/>
      <c r="N1" s="674"/>
      <c r="O1" s="674"/>
      <c r="P1" s="674"/>
    </row>
    <row r="2" spans="1:16" ht="17.5">
      <c r="A2" s="668" t="s">
        <v>236</v>
      </c>
      <c r="B2" s="669"/>
      <c r="C2" s="670"/>
      <c r="D2" s="647"/>
      <c r="E2" s="648"/>
      <c r="F2" s="648"/>
      <c r="G2" s="648"/>
      <c r="H2" s="648"/>
      <c r="I2" s="648"/>
      <c r="J2" s="648"/>
      <c r="K2" s="648"/>
      <c r="L2" s="648"/>
      <c r="M2" s="648"/>
      <c r="N2" s="648"/>
      <c r="O2" s="648"/>
      <c r="P2" s="649"/>
    </row>
    <row r="3" spans="1:16" ht="15.5">
      <c r="A3" s="668" t="s">
        <v>237</v>
      </c>
      <c r="B3" s="675"/>
      <c r="C3" s="676"/>
      <c r="D3" s="647"/>
      <c r="E3" s="648"/>
      <c r="F3" s="648"/>
      <c r="G3" s="648"/>
      <c r="H3" s="648"/>
      <c r="I3" s="648"/>
      <c r="J3" s="648"/>
      <c r="K3" s="648"/>
      <c r="L3" s="648"/>
      <c r="M3" s="648"/>
      <c r="N3" s="648"/>
      <c r="O3" s="648"/>
      <c r="P3" s="649"/>
    </row>
    <row r="4" spans="1:16" ht="17.5">
      <c r="A4" s="668" t="s">
        <v>238</v>
      </c>
      <c r="B4" s="669"/>
      <c r="C4" s="670"/>
      <c r="D4" s="671"/>
      <c r="E4" s="672"/>
      <c r="F4" s="672"/>
      <c r="G4" s="672"/>
      <c r="H4" s="672"/>
      <c r="I4" s="672"/>
      <c r="J4" s="672"/>
      <c r="K4" s="672"/>
      <c r="L4" s="672"/>
      <c r="M4" s="672"/>
      <c r="N4" s="672"/>
      <c r="O4" s="672"/>
      <c r="P4" s="673"/>
    </row>
    <row r="5" spans="1:16" ht="17.5">
      <c r="A5" s="644" t="s">
        <v>239</v>
      </c>
      <c r="B5" s="645"/>
      <c r="C5" s="646"/>
      <c r="D5" s="667"/>
      <c r="E5" s="648"/>
      <c r="F5" s="648"/>
      <c r="G5" s="648"/>
      <c r="H5" s="648"/>
      <c r="I5" s="648"/>
      <c r="J5" s="648"/>
      <c r="K5" s="648"/>
      <c r="L5" s="648"/>
      <c r="M5" s="648"/>
      <c r="N5" s="648"/>
      <c r="O5" s="648"/>
      <c r="P5" s="649"/>
    </row>
    <row r="6" spans="1:16" ht="17.5">
      <c r="A6" s="644" t="s">
        <v>240</v>
      </c>
      <c r="B6" s="645"/>
      <c r="C6" s="646"/>
      <c r="D6" s="647"/>
      <c r="E6" s="648"/>
      <c r="F6" s="648"/>
      <c r="G6" s="648"/>
      <c r="H6" s="648"/>
      <c r="I6" s="648"/>
      <c r="J6" s="648"/>
      <c r="K6" s="648"/>
      <c r="L6" s="648"/>
      <c r="M6" s="648"/>
      <c r="N6" s="648"/>
      <c r="O6" s="648"/>
      <c r="P6" s="649"/>
    </row>
    <row r="7" spans="1:16" ht="17.5">
      <c r="A7" s="644" t="s">
        <v>241</v>
      </c>
      <c r="B7" s="645"/>
      <c r="C7" s="646"/>
      <c r="D7" s="647"/>
      <c r="E7" s="648"/>
      <c r="F7" s="648"/>
      <c r="G7" s="648"/>
      <c r="H7" s="648"/>
      <c r="I7" s="648"/>
      <c r="J7" s="648"/>
      <c r="K7" s="648"/>
      <c r="L7" s="648"/>
      <c r="M7" s="648"/>
      <c r="N7" s="648"/>
      <c r="O7" s="648"/>
      <c r="P7" s="649"/>
    </row>
    <row r="8" spans="1:16" ht="17.5">
      <c r="A8" s="644" t="s">
        <v>242</v>
      </c>
      <c r="B8" s="645"/>
      <c r="C8" s="646"/>
      <c r="D8" s="666"/>
      <c r="E8" s="648"/>
      <c r="F8" s="648"/>
      <c r="G8" s="648"/>
      <c r="H8" s="648"/>
      <c r="I8" s="648"/>
      <c r="J8" s="648"/>
      <c r="K8" s="648"/>
      <c r="L8" s="648"/>
      <c r="M8" s="648"/>
      <c r="N8" s="648"/>
      <c r="O8" s="648"/>
      <c r="P8" s="649"/>
    </row>
    <row r="9" spans="1:16" ht="17.5">
      <c r="A9" s="644" t="s">
        <v>243</v>
      </c>
      <c r="B9" s="645"/>
      <c r="C9" s="646"/>
      <c r="D9" s="647"/>
      <c r="E9" s="648"/>
      <c r="F9" s="648"/>
      <c r="G9" s="648"/>
      <c r="H9" s="648"/>
      <c r="I9" s="648"/>
      <c r="J9" s="648"/>
      <c r="K9" s="648"/>
      <c r="L9" s="648"/>
      <c r="M9" s="648"/>
      <c r="N9" s="648"/>
      <c r="O9" s="648"/>
      <c r="P9" s="649"/>
    </row>
    <row r="10" spans="1:16" ht="22.5" customHeight="1">
      <c r="A10" s="644" t="s">
        <v>383</v>
      </c>
      <c r="B10" s="645"/>
      <c r="C10" s="646"/>
      <c r="D10" s="647"/>
      <c r="E10" s="648"/>
      <c r="F10" s="648"/>
      <c r="G10" s="648"/>
      <c r="H10" s="648"/>
      <c r="I10" s="648"/>
      <c r="J10" s="648"/>
      <c r="K10" s="648"/>
      <c r="L10" s="648"/>
      <c r="M10" s="648"/>
      <c r="N10" s="648"/>
      <c r="O10" s="648"/>
      <c r="P10" s="649"/>
    </row>
    <row r="11" spans="1:16" ht="17.25" customHeight="1">
      <c r="A11" s="658" t="s">
        <v>244</v>
      </c>
      <c r="B11" s="659"/>
      <c r="C11" s="659"/>
      <c r="D11" s="659"/>
      <c r="E11" s="659"/>
      <c r="F11" s="659"/>
      <c r="G11" s="659"/>
      <c r="H11" s="659"/>
      <c r="I11" s="659"/>
      <c r="J11" s="659"/>
      <c r="K11" s="659"/>
      <c r="L11" s="659"/>
      <c r="M11" s="659"/>
      <c r="N11" s="659"/>
      <c r="O11" s="659"/>
      <c r="P11" s="660"/>
    </row>
    <row r="12" spans="1:16" ht="17.5">
      <c r="A12" s="644" t="s">
        <v>245</v>
      </c>
      <c r="B12" s="645"/>
      <c r="C12" s="646"/>
      <c r="D12" s="647"/>
      <c r="E12" s="648"/>
      <c r="F12" s="648"/>
      <c r="G12" s="648"/>
      <c r="H12" s="648"/>
      <c r="I12" s="648"/>
      <c r="J12" s="648"/>
      <c r="K12" s="648"/>
      <c r="L12" s="648"/>
      <c r="M12" s="648"/>
      <c r="N12" s="648"/>
      <c r="O12" s="648"/>
      <c r="P12" s="649"/>
    </row>
    <row r="13" spans="1:16" ht="19.5" customHeight="1">
      <c r="A13" s="644" t="s">
        <v>246</v>
      </c>
      <c r="B13" s="645"/>
      <c r="C13" s="646"/>
      <c r="D13" s="647"/>
      <c r="E13" s="648"/>
      <c r="F13" s="648"/>
      <c r="G13" s="648"/>
      <c r="H13" s="648"/>
      <c r="I13" s="648"/>
      <c r="J13" s="648"/>
      <c r="K13" s="648"/>
      <c r="L13" s="648"/>
      <c r="M13" s="648"/>
      <c r="N13" s="648"/>
      <c r="O13" s="648"/>
      <c r="P13" s="649"/>
    </row>
    <row r="14" spans="1:16" ht="17.5">
      <c r="A14" s="644" t="s">
        <v>247</v>
      </c>
      <c r="B14" s="645"/>
      <c r="C14" s="646"/>
      <c r="D14" s="647"/>
      <c r="E14" s="648"/>
      <c r="F14" s="648"/>
      <c r="G14" s="648"/>
      <c r="H14" s="648"/>
      <c r="I14" s="648"/>
      <c r="J14" s="648"/>
      <c r="K14" s="648"/>
      <c r="L14" s="648"/>
      <c r="M14" s="648"/>
      <c r="N14" s="648"/>
      <c r="O14" s="648"/>
      <c r="P14" s="649"/>
    </row>
    <row r="15" spans="1:16" ht="17.5">
      <c r="A15" s="644" t="s">
        <v>248</v>
      </c>
      <c r="B15" s="645"/>
      <c r="C15" s="646"/>
      <c r="D15" s="652"/>
      <c r="E15" s="653"/>
      <c r="F15" s="653"/>
      <c r="G15" s="653"/>
      <c r="H15" s="653"/>
      <c r="I15" s="653"/>
      <c r="J15" s="653"/>
      <c r="K15" s="653"/>
      <c r="L15" s="653"/>
      <c r="M15" s="653"/>
      <c r="N15" s="653"/>
      <c r="O15" s="653"/>
      <c r="P15" s="654"/>
    </row>
    <row r="16" spans="1:16" ht="17.5">
      <c r="A16" s="644" t="s">
        <v>391</v>
      </c>
      <c r="B16" s="645"/>
      <c r="C16" s="646"/>
      <c r="D16" s="652"/>
      <c r="E16" s="653"/>
      <c r="F16" s="653"/>
      <c r="G16" s="653"/>
      <c r="H16" s="653"/>
      <c r="I16" s="653"/>
      <c r="J16" s="653"/>
      <c r="K16" s="653"/>
      <c r="L16" s="653"/>
      <c r="M16" s="653"/>
      <c r="N16" s="653"/>
      <c r="O16" s="653"/>
      <c r="P16" s="654"/>
    </row>
    <row r="17" spans="1:16" ht="17.5">
      <c r="A17" s="644" t="s">
        <v>391</v>
      </c>
      <c r="B17" s="645"/>
      <c r="C17" s="646"/>
      <c r="D17" s="647"/>
      <c r="E17" s="648"/>
      <c r="F17" s="648"/>
      <c r="G17" s="648"/>
      <c r="H17" s="648"/>
      <c r="I17" s="648"/>
      <c r="J17" s="648"/>
      <c r="K17" s="648"/>
      <c r="L17" s="648"/>
      <c r="M17" s="648"/>
      <c r="N17" s="648"/>
      <c r="O17" s="648"/>
      <c r="P17" s="649"/>
    </row>
    <row r="18" spans="1:16" ht="21" customHeight="1">
      <c r="A18" s="658" t="s">
        <v>249</v>
      </c>
      <c r="B18" s="659"/>
      <c r="C18" s="659"/>
      <c r="D18" s="659"/>
      <c r="E18" s="659"/>
      <c r="F18" s="659"/>
      <c r="G18" s="659"/>
      <c r="H18" s="659"/>
      <c r="I18" s="659"/>
      <c r="J18" s="659"/>
      <c r="K18" s="659"/>
      <c r="L18" s="659"/>
      <c r="M18" s="659"/>
      <c r="N18" s="659"/>
      <c r="O18" s="659"/>
      <c r="P18" s="660"/>
    </row>
    <row r="19" spans="1:16" ht="17.5">
      <c r="A19" s="661" t="s">
        <v>250</v>
      </c>
      <c r="B19" s="662"/>
      <c r="C19" s="663"/>
      <c r="D19" s="647"/>
      <c r="E19" s="648"/>
      <c r="F19" s="648"/>
      <c r="G19" s="648"/>
      <c r="H19" s="648"/>
      <c r="I19" s="648"/>
      <c r="J19" s="648"/>
      <c r="K19" s="648"/>
      <c r="L19" s="648"/>
      <c r="M19" s="648"/>
      <c r="N19" s="648"/>
      <c r="O19" s="648"/>
      <c r="P19" s="649"/>
    </row>
    <row r="20" spans="1:16" ht="18" customHeight="1">
      <c r="A20" s="644" t="s">
        <v>251</v>
      </c>
      <c r="B20" s="645"/>
      <c r="C20" s="646"/>
      <c r="D20" s="647"/>
      <c r="E20" s="664"/>
      <c r="F20" s="664"/>
      <c r="G20" s="664"/>
      <c r="H20" s="664"/>
      <c r="I20" s="664"/>
      <c r="J20" s="664"/>
      <c r="K20" s="664"/>
      <c r="L20" s="664"/>
      <c r="M20" s="664"/>
      <c r="N20" s="664"/>
      <c r="O20" s="664"/>
      <c r="P20" s="665"/>
    </row>
    <row r="21" spans="1:16" ht="18" customHeight="1">
      <c r="A21" s="644" t="s">
        <v>252</v>
      </c>
      <c r="B21" s="645"/>
      <c r="C21" s="646"/>
      <c r="D21" s="650" t="s">
        <v>253</v>
      </c>
      <c r="E21" s="655"/>
      <c r="F21" s="652"/>
      <c r="G21" s="653"/>
      <c r="H21" s="653"/>
      <c r="I21" s="653"/>
      <c r="J21" s="654"/>
      <c r="K21" s="655" t="s">
        <v>184</v>
      </c>
      <c r="L21" s="655"/>
      <c r="M21" s="652"/>
      <c r="N21" s="653"/>
      <c r="O21" s="653"/>
      <c r="P21" s="654"/>
    </row>
    <row r="22" spans="1:16" ht="17.5">
      <c r="A22" s="644" t="s">
        <v>254</v>
      </c>
      <c r="B22" s="645"/>
      <c r="C22" s="646"/>
      <c r="D22" s="652"/>
      <c r="E22" s="656"/>
      <c r="F22" s="656"/>
      <c r="G22" s="656"/>
      <c r="H22" s="656"/>
      <c r="I22" s="656"/>
      <c r="J22" s="656"/>
      <c r="K22" s="656"/>
      <c r="L22" s="656"/>
      <c r="M22" s="656"/>
      <c r="N22" s="656"/>
      <c r="O22" s="656"/>
      <c r="P22" s="657"/>
    </row>
    <row r="23" spans="1:16" ht="17.5">
      <c r="A23" s="644" t="s">
        <v>255</v>
      </c>
      <c r="B23" s="645"/>
      <c r="C23" s="646"/>
      <c r="D23" s="647"/>
      <c r="E23" s="648"/>
      <c r="F23" s="648"/>
      <c r="G23" s="648"/>
      <c r="H23" s="648"/>
      <c r="I23" s="648"/>
      <c r="J23" s="648"/>
      <c r="K23" s="648"/>
      <c r="L23" s="648"/>
      <c r="M23" s="648"/>
      <c r="N23" s="648"/>
      <c r="O23" s="648"/>
      <c r="P23" s="649"/>
    </row>
    <row r="24" spans="1:16" ht="18" customHeight="1">
      <c r="A24" s="644" t="s">
        <v>256</v>
      </c>
      <c r="B24" s="645"/>
      <c r="C24" s="646"/>
      <c r="D24" s="650" t="s">
        <v>253</v>
      </c>
      <c r="E24" s="651"/>
      <c r="F24" s="652"/>
      <c r="G24" s="653"/>
      <c r="H24" s="653"/>
      <c r="I24" s="653"/>
      <c r="J24" s="654"/>
      <c r="K24" s="655" t="s">
        <v>184</v>
      </c>
      <c r="L24" s="655"/>
      <c r="M24" s="652"/>
      <c r="N24" s="656"/>
      <c r="O24" s="656"/>
      <c r="P24" s="657"/>
    </row>
    <row r="25" spans="1:16">
      <c r="A25" s="447"/>
      <c r="B25" s="447"/>
      <c r="C25" s="447"/>
      <c r="D25" s="447"/>
      <c r="E25" s="447"/>
      <c r="F25" s="447"/>
      <c r="G25" s="447"/>
      <c r="H25" s="447"/>
      <c r="I25" s="447"/>
      <c r="J25" s="447"/>
      <c r="K25" s="447"/>
      <c r="L25" s="447"/>
      <c r="M25" s="447"/>
      <c r="N25" s="447"/>
      <c r="O25" s="447"/>
      <c r="P25" s="447"/>
    </row>
    <row r="26" spans="1:16">
      <c r="A26" s="447"/>
      <c r="B26" s="447"/>
      <c r="C26" s="447"/>
      <c r="D26" s="447"/>
      <c r="E26" s="447"/>
      <c r="F26" s="447"/>
      <c r="G26" s="447"/>
      <c r="H26" s="447"/>
      <c r="I26" s="447"/>
      <c r="J26" s="447"/>
      <c r="K26" s="447"/>
      <c r="L26" s="447"/>
      <c r="M26" s="447"/>
      <c r="N26" s="447"/>
      <c r="O26" s="447"/>
      <c r="P26" s="447"/>
    </row>
    <row r="27" spans="1:16">
      <c r="A27" s="447"/>
      <c r="B27" s="447"/>
      <c r="C27" s="447"/>
      <c r="D27" s="447"/>
      <c r="E27" s="447"/>
      <c r="F27" s="447"/>
      <c r="G27" s="447"/>
      <c r="H27" s="447"/>
      <c r="I27" s="447"/>
      <c r="J27" s="447"/>
      <c r="K27" s="447"/>
      <c r="L27" s="447"/>
      <c r="M27" s="447"/>
      <c r="N27" s="447"/>
      <c r="O27" s="447"/>
      <c r="P27" s="447"/>
    </row>
    <row r="28" spans="1:16">
      <c r="A28" s="447"/>
      <c r="B28" s="447"/>
      <c r="C28" s="447"/>
      <c r="D28" s="447"/>
      <c r="E28" s="447"/>
      <c r="F28" s="447"/>
      <c r="G28" s="447"/>
      <c r="H28" s="447"/>
      <c r="I28" s="447"/>
      <c r="J28" s="447"/>
      <c r="K28" s="447"/>
      <c r="L28" s="447"/>
      <c r="M28" s="447"/>
      <c r="N28" s="447"/>
      <c r="O28" s="447"/>
      <c r="P28" s="447"/>
    </row>
    <row r="29" spans="1:16">
      <c r="A29" s="447"/>
      <c r="B29" s="447"/>
      <c r="C29" s="447"/>
      <c r="D29" s="447"/>
      <c r="E29" s="447"/>
      <c r="F29" s="447"/>
      <c r="G29" s="447"/>
      <c r="H29" s="447"/>
      <c r="I29" s="447"/>
      <c r="J29" s="447"/>
      <c r="K29" s="447"/>
      <c r="L29" s="447"/>
      <c r="M29" s="447"/>
      <c r="N29" s="447"/>
      <c r="O29" s="447"/>
      <c r="P29" s="447"/>
    </row>
    <row r="30" spans="1:16">
      <c r="A30" s="447"/>
      <c r="B30" s="447"/>
      <c r="C30" s="447"/>
      <c r="D30" s="447"/>
      <c r="E30" s="447"/>
      <c r="F30" s="447"/>
      <c r="G30" s="447"/>
      <c r="H30" s="447"/>
      <c r="I30" s="447"/>
      <c r="J30" s="447"/>
      <c r="K30" s="447"/>
      <c r="L30" s="447"/>
      <c r="M30" s="447"/>
      <c r="N30" s="447"/>
      <c r="O30" s="447"/>
      <c r="P30" s="447"/>
    </row>
    <row r="31" spans="1:16">
      <c r="A31" s="447"/>
      <c r="B31" s="447"/>
      <c r="C31" s="447"/>
      <c r="D31" s="447"/>
      <c r="E31" s="447"/>
      <c r="F31" s="447"/>
      <c r="G31" s="447"/>
      <c r="H31" s="447"/>
      <c r="I31" s="447"/>
      <c r="J31" s="447"/>
      <c r="K31" s="447"/>
      <c r="L31" s="447"/>
      <c r="M31" s="447"/>
      <c r="N31" s="447"/>
      <c r="O31" s="447"/>
      <c r="P31" s="447"/>
    </row>
    <row r="32" spans="1:16">
      <c r="A32" s="447"/>
      <c r="B32" s="447"/>
      <c r="C32" s="447"/>
      <c r="D32" s="447"/>
      <c r="E32" s="447"/>
      <c r="F32" s="447"/>
      <c r="G32" s="447"/>
      <c r="H32" s="447"/>
      <c r="I32" s="447"/>
      <c r="J32" s="447"/>
      <c r="K32" s="447"/>
      <c r="L32" s="447"/>
      <c r="M32" s="447"/>
      <c r="N32" s="447"/>
      <c r="O32" s="447"/>
      <c r="P32" s="447"/>
    </row>
    <row r="33" spans="1:16">
      <c r="A33" s="447"/>
      <c r="B33" s="447"/>
      <c r="C33" s="447"/>
      <c r="D33" s="447"/>
      <c r="E33" s="447"/>
      <c r="F33" s="447"/>
      <c r="G33" s="447"/>
      <c r="H33" s="447"/>
      <c r="I33" s="447"/>
      <c r="J33" s="447"/>
      <c r="K33" s="447"/>
      <c r="L33" s="447"/>
      <c r="M33" s="447"/>
      <c r="N33" s="447"/>
      <c r="O33" s="447"/>
      <c r="P33" s="447"/>
    </row>
    <row r="34" spans="1:16">
      <c r="A34" s="447"/>
      <c r="B34" s="447"/>
      <c r="C34" s="447"/>
      <c r="D34" s="447"/>
      <c r="E34" s="447"/>
      <c r="F34" s="447"/>
      <c r="G34" s="447"/>
      <c r="H34" s="447"/>
      <c r="I34" s="447"/>
      <c r="J34" s="447"/>
      <c r="K34" s="447"/>
      <c r="L34" s="447"/>
      <c r="M34" s="447"/>
      <c r="N34" s="447"/>
      <c r="O34" s="447"/>
      <c r="P34" s="447"/>
    </row>
    <row r="35" spans="1:16">
      <c r="A35" s="447"/>
      <c r="B35" s="447"/>
      <c r="C35" s="447"/>
      <c r="D35" s="447"/>
      <c r="E35" s="447"/>
      <c r="F35" s="447"/>
      <c r="G35" s="447"/>
      <c r="H35" s="447"/>
      <c r="I35" s="447"/>
      <c r="J35" s="447"/>
      <c r="K35" s="447"/>
      <c r="L35" s="447"/>
      <c r="M35" s="447"/>
      <c r="N35" s="447"/>
      <c r="O35" s="447"/>
      <c r="P35" s="447"/>
    </row>
  </sheetData>
  <sheetProtection algorithmName="SHA-512" hashValue="qKgTin4/IXhq5jDHpd5EnN3Q+m3ltW6jah4GAGA0xbU12gsDI7J2fCpXpPrsOuEcDZbr3pK1SoKN3JQmx1oH2g==" saltValue="KkLVz4hSn75nFRJ95tMFkw==" spinCount="100000" sheet="1" objects="1" scenarios="1"/>
  <mergeCells count="51">
    <mergeCell ref="D16:P16"/>
    <mergeCell ref="D15:P15"/>
    <mergeCell ref="A4:C4"/>
    <mergeCell ref="D4:P4"/>
    <mergeCell ref="A1:P1"/>
    <mergeCell ref="A2:C2"/>
    <mergeCell ref="D2:P2"/>
    <mergeCell ref="A3:C3"/>
    <mergeCell ref="D3:P3"/>
    <mergeCell ref="A5:C5"/>
    <mergeCell ref="D5:P5"/>
    <mergeCell ref="A6:C6"/>
    <mergeCell ref="D6:P6"/>
    <mergeCell ref="A7:C7"/>
    <mergeCell ref="D7:P7"/>
    <mergeCell ref="A14:C14"/>
    <mergeCell ref="D14:P14"/>
    <mergeCell ref="A8:C8"/>
    <mergeCell ref="D8:P8"/>
    <mergeCell ref="A9:C9"/>
    <mergeCell ref="D9:P9"/>
    <mergeCell ref="A10:C10"/>
    <mergeCell ref="D10:P10"/>
    <mergeCell ref="A11:P11"/>
    <mergeCell ref="A12:C12"/>
    <mergeCell ref="D12:P12"/>
    <mergeCell ref="A13:C13"/>
    <mergeCell ref="D13:P13"/>
    <mergeCell ref="A22:C22"/>
    <mergeCell ref="D22:P22"/>
    <mergeCell ref="A15:C15"/>
    <mergeCell ref="D17:P17"/>
    <mergeCell ref="A18:P18"/>
    <mergeCell ref="A19:C19"/>
    <mergeCell ref="D19:P19"/>
    <mergeCell ref="A20:C20"/>
    <mergeCell ref="D20:P20"/>
    <mergeCell ref="A21:C21"/>
    <mergeCell ref="D21:E21"/>
    <mergeCell ref="F21:J21"/>
    <mergeCell ref="K21:L21"/>
    <mergeCell ref="M21:P21"/>
    <mergeCell ref="A16:C16"/>
    <mergeCell ref="A17:C17"/>
    <mergeCell ref="A23:C23"/>
    <mergeCell ref="D23:P23"/>
    <mergeCell ref="A24:C24"/>
    <mergeCell ref="D24:E24"/>
    <mergeCell ref="F24:J24"/>
    <mergeCell ref="K24:L24"/>
    <mergeCell ref="M24:P24"/>
  </mergeCells>
  <pageMargins left="0.7" right="0.7" top="1" bottom="0.75" header="0.3" footer="0.3"/>
  <pageSetup scale="70" orientation="landscape" r:id="rId1"/>
  <headerFooter>
    <oddFooter xml:space="preserve">&amp;LSubmit to Project Manager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B1:R47"/>
  <sheetViews>
    <sheetView showGridLines="0" showRowColHeaders="0" workbookViewId="0">
      <selection activeCell="E13" sqref="E13"/>
    </sheetView>
  </sheetViews>
  <sheetFormatPr defaultColWidth="9.1796875" defaultRowHeight="12.5"/>
  <cols>
    <col min="1" max="1" width="2.54296875" style="457" customWidth="1"/>
    <col min="2" max="2" width="9.1796875" style="457" customWidth="1"/>
    <col min="3" max="3" width="9.1796875" style="457"/>
    <col min="4" max="5" width="10.7265625" style="457" customWidth="1"/>
    <col min="6" max="6" width="4.7265625" style="457" customWidth="1"/>
    <col min="7" max="7" width="10.7265625" style="457" customWidth="1"/>
    <col min="8" max="9" width="4.7265625" style="457" customWidth="1"/>
    <col min="10" max="10" width="9.1796875" style="457" customWidth="1"/>
    <col min="11" max="11" width="4.7265625" style="457" customWidth="1"/>
    <col min="12" max="12" width="8.7265625" style="457" customWidth="1"/>
    <col min="13" max="15" width="9.1796875" style="457"/>
    <col min="16" max="18" width="15.7265625" style="457" customWidth="1"/>
    <col min="19" max="256" width="9.1796875" style="457"/>
    <col min="257" max="257" width="2.54296875" style="457" customWidth="1"/>
    <col min="258" max="258" width="9.1796875" style="457" customWidth="1"/>
    <col min="259" max="259" width="9.1796875" style="457"/>
    <col min="260" max="261" width="10.7265625" style="457" customWidth="1"/>
    <col min="262" max="262" width="4.7265625" style="457" customWidth="1"/>
    <col min="263" max="263" width="10.7265625" style="457" customWidth="1"/>
    <col min="264" max="265" width="4.7265625" style="457" customWidth="1"/>
    <col min="266" max="266" width="9.1796875" style="457" customWidth="1"/>
    <col min="267" max="267" width="4.7265625" style="457" customWidth="1"/>
    <col min="268" max="268" width="8.7265625" style="457" customWidth="1"/>
    <col min="269" max="271" width="9.1796875" style="457"/>
    <col min="272" max="274" width="15.7265625" style="457" customWidth="1"/>
    <col min="275" max="512" width="9.1796875" style="457"/>
    <col min="513" max="513" width="2.54296875" style="457" customWidth="1"/>
    <col min="514" max="514" width="9.1796875" style="457" customWidth="1"/>
    <col min="515" max="515" width="9.1796875" style="457"/>
    <col min="516" max="517" width="10.7265625" style="457" customWidth="1"/>
    <col min="518" max="518" width="4.7265625" style="457" customWidth="1"/>
    <col min="519" max="519" width="10.7265625" style="457" customWidth="1"/>
    <col min="520" max="521" width="4.7265625" style="457" customWidth="1"/>
    <col min="522" max="522" width="9.1796875" style="457" customWidth="1"/>
    <col min="523" max="523" width="4.7265625" style="457" customWidth="1"/>
    <col min="524" max="524" width="8.7265625" style="457" customWidth="1"/>
    <col min="525" max="527" width="9.1796875" style="457"/>
    <col min="528" max="530" width="15.7265625" style="457" customWidth="1"/>
    <col min="531" max="768" width="9.1796875" style="457"/>
    <col min="769" max="769" width="2.54296875" style="457" customWidth="1"/>
    <col min="770" max="770" width="9.1796875" style="457" customWidth="1"/>
    <col min="771" max="771" width="9.1796875" style="457"/>
    <col min="772" max="773" width="10.7265625" style="457" customWidth="1"/>
    <col min="774" max="774" width="4.7265625" style="457" customWidth="1"/>
    <col min="775" max="775" width="10.7265625" style="457" customWidth="1"/>
    <col min="776" max="777" width="4.7265625" style="457" customWidth="1"/>
    <col min="778" max="778" width="9.1796875" style="457" customWidth="1"/>
    <col min="779" max="779" width="4.7265625" style="457" customWidth="1"/>
    <col min="780" max="780" width="8.7265625" style="457" customWidth="1"/>
    <col min="781" max="783" width="9.1796875" style="457"/>
    <col min="784" max="786" width="15.7265625" style="457" customWidth="1"/>
    <col min="787" max="1024" width="9.1796875" style="457"/>
    <col min="1025" max="1025" width="2.54296875" style="457" customWidth="1"/>
    <col min="1026" max="1026" width="9.1796875" style="457" customWidth="1"/>
    <col min="1027" max="1027" width="9.1796875" style="457"/>
    <col min="1028" max="1029" width="10.7265625" style="457" customWidth="1"/>
    <col min="1030" max="1030" width="4.7265625" style="457" customWidth="1"/>
    <col min="1031" max="1031" width="10.7265625" style="457" customWidth="1"/>
    <col min="1032" max="1033" width="4.7265625" style="457" customWidth="1"/>
    <col min="1034" max="1034" width="9.1796875" style="457" customWidth="1"/>
    <col min="1035" max="1035" width="4.7265625" style="457" customWidth="1"/>
    <col min="1036" max="1036" width="8.7265625" style="457" customWidth="1"/>
    <col min="1037" max="1039" width="9.1796875" style="457"/>
    <col min="1040" max="1042" width="15.7265625" style="457" customWidth="1"/>
    <col min="1043" max="1280" width="9.1796875" style="457"/>
    <col min="1281" max="1281" width="2.54296875" style="457" customWidth="1"/>
    <col min="1282" max="1282" width="9.1796875" style="457" customWidth="1"/>
    <col min="1283" max="1283" width="9.1796875" style="457"/>
    <col min="1284" max="1285" width="10.7265625" style="457" customWidth="1"/>
    <col min="1286" max="1286" width="4.7265625" style="457" customWidth="1"/>
    <col min="1287" max="1287" width="10.7265625" style="457" customWidth="1"/>
    <col min="1288" max="1289" width="4.7265625" style="457" customWidth="1"/>
    <col min="1290" max="1290" width="9.1796875" style="457" customWidth="1"/>
    <col min="1291" max="1291" width="4.7265625" style="457" customWidth="1"/>
    <col min="1292" max="1292" width="8.7265625" style="457" customWidth="1"/>
    <col min="1293" max="1295" width="9.1796875" style="457"/>
    <col min="1296" max="1298" width="15.7265625" style="457" customWidth="1"/>
    <col min="1299" max="1536" width="9.1796875" style="457"/>
    <col min="1537" max="1537" width="2.54296875" style="457" customWidth="1"/>
    <col min="1538" max="1538" width="9.1796875" style="457" customWidth="1"/>
    <col min="1539" max="1539" width="9.1796875" style="457"/>
    <col min="1540" max="1541" width="10.7265625" style="457" customWidth="1"/>
    <col min="1542" max="1542" width="4.7265625" style="457" customWidth="1"/>
    <col min="1543" max="1543" width="10.7265625" style="457" customWidth="1"/>
    <col min="1544" max="1545" width="4.7265625" style="457" customWidth="1"/>
    <col min="1546" max="1546" width="9.1796875" style="457" customWidth="1"/>
    <col min="1547" max="1547" width="4.7265625" style="457" customWidth="1"/>
    <col min="1548" max="1548" width="8.7265625" style="457" customWidth="1"/>
    <col min="1549" max="1551" width="9.1796875" style="457"/>
    <col min="1552" max="1554" width="15.7265625" style="457" customWidth="1"/>
    <col min="1555" max="1792" width="9.1796875" style="457"/>
    <col min="1793" max="1793" width="2.54296875" style="457" customWidth="1"/>
    <col min="1794" max="1794" width="9.1796875" style="457" customWidth="1"/>
    <col min="1795" max="1795" width="9.1796875" style="457"/>
    <col min="1796" max="1797" width="10.7265625" style="457" customWidth="1"/>
    <col min="1798" max="1798" width="4.7265625" style="457" customWidth="1"/>
    <col min="1799" max="1799" width="10.7265625" style="457" customWidth="1"/>
    <col min="1800" max="1801" width="4.7265625" style="457" customWidth="1"/>
    <col min="1802" max="1802" width="9.1796875" style="457" customWidth="1"/>
    <col min="1803" max="1803" width="4.7265625" style="457" customWidth="1"/>
    <col min="1804" max="1804" width="8.7265625" style="457" customWidth="1"/>
    <col min="1805" max="1807" width="9.1796875" style="457"/>
    <col min="1808" max="1810" width="15.7265625" style="457" customWidth="1"/>
    <col min="1811" max="2048" width="9.1796875" style="457"/>
    <col min="2049" max="2049" width="2.54296875" style="457" customWidth="1"/>
    <col min="2050" max="2050" width="9.1796875" style="457" customWidth="1"/>
    <col min="2051" max="2051" width="9.1796875" style="457"/>
    <col min="2052" max="2053" width="10.7265625" style="457" customWidth="1"/>
    <col min="2054" max="2054" width="4.7265625" style="457" customWidth="1"/>
    <col min="2055" max="2055" width="10.7265625" style="457" customWidth="1"/>
    <col min="2056" max="2057" width="4.7265625" style="457" customWidth="1"/>
    <col min="2058" max="2058" width="9.1796875" style="457" customWidth="1"/>
    <col min="2059" max="2059" width="4.7265625" style="457" customWidth="1"/>
    <col min="2060" max="2060" width="8.7265625" style="457" customWidth="1"/>
    <col min="2061" max="2063" width="9.1796875" style="457"/>
    <col min="2064" max="2066" width="15.7265625" style="457" customWidth="1"/>
    <col min="2067" max="2304" width="9.1796875" style="457"/>
    <col min="2305" max="2305" width="2.54296875" style="457" customWidth="1"/>
    <col min="2306" max="2306" width="9.1796875" style="457" customWidth="1"/>
    <col min="2307" max="2307" width="9.1796875" style="457"/>
    <col min="2308" max="2309" width="10.7265625" style="457" customWidth="1"/>
    <col min="2310" max="2310" width="4.7265625" style="457" customWidth="1"/>
    <col min="2311" max="2311" width="10.7265625" style="457" customWidth="1"/>
    <col min="2312" max="2313" width="4.7265625" style="457" customWidth="1"/>
    <col min="2314" max="2314" width="9.1796875" style="457" customWidth="1"/>
    <col min="2315" max="2315" width="4.7265625" style="457" customWidth="1"/>
    <col min="2316" max="2316" width="8.7265625" style="457" customWidth="1"/>
    <col min="2317" max="2319" width="9.1796875" style="457"/>
    <col min="2320" max="2322" width="15.7265625" style="457" customWidth="1"/>
    <col min="2323" max="2560" width="9.1796875" style="457"/>
    <col min="2561" max="2561" width="2.54296875" style="457" customWidth="1"/>
    <col min="2562" max="2562" width="9.1796875" style="457" customWidth="1"/>
    <col min="2563" max="2563" width="9.1796875" style="457"/>
    <col min="2564" max="2565" width="10.7265625" style="457" customWidth="1"/>
    <col min="2566" max="2566" width="4.7265625" style="457" customWidth="1"/>
    <col min="2567" max="2567" width="10.7265625" style="457" customWidth="1"/>
    <col min="2568" max="2569" width="4.7265625" style="457" customWidth="1"/>
    <col min="2570" max="2570" width="9.1796875" style="457" customWidth="1"/>
    <col min="2571" max="2571" width="4.7265625" style="457" customWidth="1"/>
    <col min="2572" max="2572" width="8.7265625" style="457" customWidth="1"/>
    <col min="2573" max="2575" width="9.1796875" style="457"/>
    <col min="2576" max="2578" width="15.7265625" style="457" customWidth="1"/>
    <col min="2579" max="2816" width="9.1796875" style="457"/>
    <col min="2817" max="2817" width="2.54296875" style="457" customWidth="1"/>
    <col min="2818" max="2818" width="9.1796875" style="457" customWidth="1"/>
    <col min="2819" max="2819" width="9.1796875" style="457"/>
    <col min="2820" max="2821" width="10.7265625" style="457" customWidth="1"/>
    <col min="2822" max="2822" width="4.7265625" style="457" customWidth="1"/>
    <col min="2823" max="2823" width="10.7265625" style="457" customWidth="1"/>
    <col min="2824" max="2825" width="4.7265625" style="457" customWidth="1"/>
    <col min="2826" max="2826" width="9.1796875" style="457" customWidth="1"/>
    <col min="2827" max="2827" width="4.7265625" style="457" customWidth="1"/>
    <col min="2828" max="2828" width="8.7265625" style="457" customWidth="1"/>
    <col min="2829" max="2831" width="9.1796875" style="457"/>
    <col min="2832" max="2834" width="15.7265625" style="457" customWidth="1"/>
    <col min="2835" max="3072" width="9.1796875" style="457"/>
    <col min="3073" max="3073" width="2.54296875" style="457" customWidth="1"/>
    <col min="3074" max="3074" width="9.1796875" style="457" customWidth="1"/>
    <col min="3075" max="3075" width="9.1796875" style="457"/>
    <col min="3076" max="3077" width="10.7265625" style="457" customWidth="1"/>
    <col min="3078" max="3078" width="4.7265625" style="457" customWidth="1"/>
    <col min="3079" max="3079" width="10.7265625" style="457" customWidth="1"/>
    <col min="3080" max="3081" width="4.7265625" style="457" customWidth="1"/>
    <col min="3082" max="3082" width="9.1796875" style="457" customWidth="1"/>
    <col min="3083" max="3083" width="4.7265625" style="457" customWidth="1"/>
    <col min="3084" max="3084" width="8.7265625" style="457" customWidth="1"/>
    <col min="3085" max="3087" width="9.1796875" style="457"/>
    <col min="3088" max="3090" width="15.7265625" style="457" customWidth="1"/>
    <col min="3091" max="3328" width="9.1796875" style="457"/>
    <col min="3329" max="3329" width="2.54296875" style="457" customWidth="1"/>
    <col min="3330" max="3330" width="9.1796875" style="457" customWidth="1"/>
    <col min="3331" max="3331" width="9.1796875" style="457"/>
    <col min="3332" max="3333" width="10.7265625" style="457" customWidth="1"/>
    <col min="3334" max="3334" width="4.7265625" style="457" customWidth="1"/>
    <col min="3335" max="3335" width="10.7265625" style="457" customWidth="1"/>
    <col min="3336" max="3337" width="4.7265625" style="457" customWidth="1"/>
    <col min="3338" max="3338" width="9.1796875" style="457" customWidth="1"/>
    <col min="3339" max="3339" width="4.7265625" style="457" customWidth="1"/>
    <col min="3340" max="3340" width="8.7265625" style="457" customWidth="1"/>
    <col min="3341" max="3343" width="9.1796875" style="457"/>
    <col min="3344" max="3346" width="15.7265625" style="457" customWidth="1"/>
    <col min="3347" max="3584" width="9.1796875" style="457"/>
    <col min="3585" max="3585" width="2.54296875" style="457" customWidth="1"/>
    <col min="3586" max="3586" width="9.1796875" style="457" customWidth="1"/>
    <col min="3587" max="3587" width="9.1796875" style="457"/>
    <col min="3588" max="3589" width="10.7265625" style="457" customWidth="1"/>
    <col min="3590" max="3590" width="4.7265625" style="457" customWidth="1"/>
    <col min="3591" max="3591" width="10.7265625" style="457" customWidth="1"/>
    <col min="3592" max="3593" width="4.7265625" style="457" customWidth="1"/>
    <col min="3594" max="3594" width="9.1796875" style="457" customWidth="1"/>
    <col min="3595" max="3595" width="4.7265625" style="457" customWidth="1"/>
    <col min="3596" max="3596" width="8.7265625" style="457" customWidth="1"/>
    <col min="3597" max="3599" width="9.1796875" style="457"/>
    <col min="3600" max="3602" width="15.7265625" style="457" customWidth="1"/>
    <col min="3603" max="3840" width="9.1796875" style="457"/>
    <col min="3841" max="3841" width="2.54296875" style="457" customWidth="1"/>
    <col min="3842" max="3842" width="9.1796875" style="457" customWidth="1"/>
    <col min="3843" max="3843" width="9.1796875" style="457"/>
    <col min="3844" max="3845" width="10.7265625" style="457" customWidth="1"/>
    <col min="3846" max="3846" width="4.7265625" style="457" customWidth="1"/>
    <col min="3847" max="3847" width="10.7265625" style="457" customWidth="1"/>
    <col min="3848" max="3849" width="4.7265625" style="457" customWidth="1"/>
    <col min="3850" max="3850" width="9.1796875" style="457" customWidth="1"/>
    <col min="3851" max="3851" width="4.7265625" style="457" customWidth="1"/>
    <col min="3852" max="3852" width="8.7265625" style="457" customWidth="1"/>
    <col min="3853" max="3855" width="9.1796875" style="457"/>
    <col min="3856" max="3858" width="15.7265625" style="457" customWidth="1"/>
    <col min="3859" max="4096" width="9.1796875" style="457"/>
    <col min="4097" max="4097" width="2.54296875" style="457" customWidth="1"/>
    <col min="4098" max="4098" width="9.1796875" style="457" customWidth="1"/>
    <col min="4099" max="4099" width="9.1796875" style="457"/>
    <col min="4100" max="4101" width="10.7265625" style="457" customWidth="1"/>
    <col min="4102" max="4102" width="4.7265625" style="457" customWidth="1"/>
    <col min="4103" max="4103" width="10.7265625" style="457" customWidth="1"/>
    <col min="4104" max="4105" width="4.7265625" style="457" customWidth="1"/>
    <col min="4106" max="4106" width="9.1796875" style="457" customWidth="1"/>
    <col min="4107" max="4107" width="4.7265625" style="457" customWidth="1"/>
    <col min="4108" max="4108" width="8.7265625" style="457" customWidth="1"/>
    <col min="4109" max="4111" width="9.1796875" style="457"/>
    <col min="4112" max="4114" width="15.7265625" style="457" customWidth="1"/>
    <col min="4115" max="4352" width="9.1796875" style="457"/>
    <col min="4353" max="4353" width="2.54296875" style="457" customWidth="1"/>
    <col min="4354" max="4354" width="9.1796875" style="457" customWidth="1"/>
    <col min="4355" max="4355" width="9.1796875" style="457"/>
    <col min="4356" max="4357" width="10.7265625" style="457" customWidth="1"/>
    <col min="4358" max="4358" width="4.7265625" style="457" customWidth="1"/>
    <col min="4359" max="4359" width="10.7265625" style="457" customWidth="1"/>
    <col min="4360" max="4361" width="4.7265625" style="457" customWidth="1"/>
    <col min="4362" max="4362" width="9.1796875" style="457" customWidth="1"/>
    <col min="4363" max="4363" width="4.7265625" style="457" customWidth="1"/>
    <col min="4364" max="4364" width="8.7265625" style="457" customWidth="1"/>
    <col min="4365" max="4367" width="9.1796875" style="457"/>
    <col min="4368" max="4370" width="15.7265625" style="457" customWidth="1"/>
    <col min="4371" max="4608" width="9.1796875" style="457"/>
    <col min="4609" max="4609" width="2.54296875" style="457" customWidth="1"/>
    <col min="4610" max="4610" width="9.1796875" style="457" customWidth="1"/>
    <col min="4611" max="4611" width="9.1796875" style="457"/>
    <col min="4612" max="4613" width="10.7265625" style="457" customWidth="1"/>
    <col min="4614" max="4614" width="4.7265625" style="457" customWidth="1"/>
    <col min="4615" max="4615" width="10.7265625" style="457" customWidth="1"/>
    <col min="4616" max="4617" width="4.7265625" style="457" customWidth="1"/>
    <col min="4618" max="4618" width="9.1796875" style="457" customWidth="1"/>
    <col min="4619" max="4619" width="4.7265625" style="457" customWidth="1"/>
    <col min="4620" max="4620" width="8.7265625" style="457" customWidth="1"/>
    <col min="4621" max="4623" width="9.1796875" style="457"/>
    <col min="4624" max="4626" width="15.7265625" style="457" customWidth="1"/>
    <col min="4627" max="4864" width="9.1796875" style="457"/>
    <col min="4865" max="4865" width="2.54296875" style="457" customWidth="1"/>
    <col min="4866" max="4866" width="9.1796875" style="457" customWidth="1"/>
    <col min="4867" max="4867" width="9.1796875" style="457"/>
    <col min="4868" max="4869" width="10.7265625" style="457" customWidth="1"/>
    <col min="4870" max="4870" width="4.7265625" style="457" customWidth="1"/>
    <col min="4871" max="4871" width="10.7265625" style="457" customWidth="1"/>
    <col min="4872" max="4873" width="4.7265625" style="457" customWidth="1"/>
    <col min="4874" max="4874" width="9.1796875" style="457" customWidth="1"/>
    <col min="4875" max="4875" width="4.7265625" style="457" customWidth="1"/>
    <col min="4876" max="4876" width="8.7265625" style="457" customWidth="1"/>
    <col min="4877" max="4879" width="9.1796875" style="457"/>
    <col min="4880" max="4882" width="15.7265625" style="457" customWidth="1"/>
    <col min="4883" max="5120" width="9.1796875" style="457"/>
    <col min="5121" max="5121" width="2.54296875" style="457" customWidth="1"/>
    <col min="5122" max="5122" width="9.1796875" style="457" customWidth="1"/>
    <col min="5123" max="5123" width="9.1796875" style="457"/>
    <col min="5124" max="5125" width="10.7265625" style="457" customWidth="1"/>
    <col min="5126" max="5126" width="4.7265625" style="457" customWidth="1"/>
    <col min="5127" max="5127" width="10.7265625" style="457" customWidth="1"/>
    <col min="5128" max="5129" width="4.7265625" style="457" customWidth="1"/>
    <col min="5130" max="5130" width="9.1796875" style="457" customWidth="1"/>
    <col min="5131" max="5131" width="4.7265625" style="457" customWidth="1"/>
    <col min="5132" max="5132" width="8.7265625" style="457" customWidth="1"/>
    <col min="5133" max="5135" width="9.1796875" style="457"/>
    <col min="5136" max="5138" width="15.7265625" style="457" customWidth="1"/>
    <col min="5139" max="5376" width="9.1796875" style="457"/>
    <col min="5377" max="5377" width="2.54296875" style="457" customWidth="1"/>
    <col min="5378" max="5378" width="9.1796875" style="457" customWidth="1"/>
    <col min="5379" max="5379" width="9.1796875" style="457"/>
    <col min="5380" max="5381" width="10.7265625" style="457" customWidth="1"/>
    <col min="5382" max="5382" width="4.7265625" style="457" customWidth="1"/>
    <col min="5383" max="5383" width="10.7265625" style="457" customWidth="1"/>
    <col min="5384" max="5385" width="4.7265625" style="457" customWidth="1"/>
    <col min="5386" max="5386" width="9.1796875" style="457" customWidth="1"/>
    <col min="5387" max="5387" width="4.7265625" style="457" customWidth="1"/>
    <col min="5388" max="5388" width="8.7265625" style="457" customWidth="1"/>
    <col min="5389" max="5391" width="9.1796875" style="457"/>
    <col min="5392" max="5394" width="15.7265625" style="457" customWidth="1"/>
    <col min="5395" max="5632" width="9.1796875" style="457"/>
    <col min="5633" max="5633" width="2.54296875" style="457" customWidth="1"/>
    <col min="5634" max="5634" width="9.1796875" style="457" customWidth="1"/>
    <col min="5635" max="5635" width="9.1796875" style="457"/>
    <col min="5636" max="5637" width="10.7265625" style="457" customWidth="1"/>
    <col min="5638" max="5638" width="4.7265625" style="457" customWidth="1"/>
    <col min="5639" max="5639" width="10.7265625" style="457" customWidth="1"/>
    <col min="5640" max="5641" width="4.7265625" style="457" customWidth="1"/>
    <col min="5642" max="5642" width="9.1796875" style="457" customWidth="1"/>
    <col min="5643" max="5643" width="4.7265625" style="457" customWidth="1"/>
    <col min="5644" max="5644" width="8.7265625" style="457" customWidth="1"/>
    <col min="5645" max="5647" width="9.1796875" style="457"/>
    <col min="5648" max="5650" width="15.7265625" style="457" customWidth="1"/>
    <col min="5651" max="5888" width="9.1796875" style="457"/>
    <col min="5889" max="5889" width="2.54296875" style="457" customWidth="1"/>
    <col min="5890" max="5890" width="9.1796875" style="457" customWidth="1"/>
    <col min="5891" max="5891" width="9.1796875" style="457"/>
    <col min="5892" max="5893" width="10.7265625" style="457" customWidth="1"/>
    <col min="5894" max="5894" width="4.7265625" style="457" customWidth="1"/>
    <col min="5895" max="5895" width="10.7265625" style="457" customWidth="1"/>
    <col min="5896" max="5897" width="4.7265625" style="457" customWidth="1"/>
    <col min="5898" max="5898" width="9.1796875" style="457" customWidth="1"/>
    <col min="5899" max="5899" width="4.7265625" style="457" customWidth="1"/>
    <col min="5900" max="5900" width="8.7265625" style="457" customWidth="1"/>
    <col min="5901" max="5903" width="9.1796875" style="457"/>
    <col min="5904" max="5906" width="15.7265625" style="457" customWidth="1"/>
    <col min="5907" max="6144" width="9.1796875" style="457"/>
    <col min="6145" max="6145" width="2.54296875" style="457" customWidth="1"/>
    <col min="6146" max="6146" width="9.1796875" style="457" customWidth="1"/>
    <col min="6147" max="6147" width="9.1796875" style="457"/>
    <col min="6148" max="6149" width="10.7265625" style="457" customWidth="1"/>
    <col min="6150" max="6150" width="4.7265625" style="457" customWidth="1"/>
    <col min="6151" max="6151" width="10.7265625" style="457" customWidth="1"/>
    <col min="6152" max="6153" width="4.7265625" style="457" customWidth="1"/>
    <col min="6154" max="6154" width="9.1796875" style="457" customWidth="1"/>
    <col min="6155" max="6155" width="4.7265625" style="457" customWidth="1"/>
    <col min="6156" max="6156" width="8.7265625" style="457" customWidth="1"/>
    <col min="6157" max="6159" width="9.1796875" style="457"/>
    <col min="6160" max="6162" width="15.7265625" style="457" customWidth="1"/>
    <col min="6163" max="6400" width="9.1796875" style="457"/>
    <col min="6401" max="6401" width="2.54296875" style="457" customWidth="1"/>
    <col min="6402" max="6402" width="9.1796875" style="457" customWidth="1"/>
    <col min="6403" max="6403" width="9.1796875" style="457"/>
    <col min="6404" max="6405" width="10.7265625" style="457" customWidth="1"/>
    <col min="6406" max="6406" width="4.7265625" style="457" customWidth="1"/>
    <col min="6407" max="6407" width="10.7265625" style="457" customWidth="1"/>
    <col min="6408" max="6409" width="4.7265625" style="457" customWidth="1"/>
    <col min="6410" max="6410" width="9.1796875" style="457" customWidth="1"/>
    <col min="6411" max="6411" width="4.7265625" style="457" customWidth="1"/>
    <col min="6412" max="6412" width="8.7265625" style="457" customWidth="1"/>
    <col min="6413" max="6415" width="9.1796875" style="457"/>
    <col min="6416" max="6418" width="15.7265625" style="457" customWidth="1"/>
    <col min="6419" max="6656" width="9.1796875" style="457"/>
    <col min="6657" max="6657" width="2.54296875" style="457" customWidth="1"/>
    <col min="6658" max="6658" width="9.1796875" style="457" customWidth="1"/>
    <col min="6659" max="6659" width="9.1796875" style="457"/>
    <col min="6660" max="6661" width="10.7265625" style="457" customWidth="1"/>
    <col min="6662" max="6662" width="4.7265625" style="457" customWidth="1"/>
    <col min="6663" max="6663" width="10.7265625" style="457" customWidth="1"/>
    <col min="6664" max="6665" width="4.7265625" style="457" customWidth="1"/>
    <col min="6666" max="6666" width="9.1796875" style="457" customWidth="1"/>
    <col min="6667" max="6667" width="4.7265625" style="457" customWidth="1"/>
    <col min="6668" max="6668" width="8.7265625" style="457" customWidth="1"/>
    <col min="6669" max="6671" width="9.1796875" style="457"/>
    <col min="6672" max="6674" width="15.7265625" style="457" customWidth="1"/>
    <col min="6675" max="6912" width="9.1796875" style="457"/>
    <col min="6913" max="6913" width="2.54296875" style="457" customWidth="1"/>
    <col min="6914" max="6914" width="9.1796875" style="457" customWidth="1"/>
    <col min="6915" max="6915" width="9.1796875" style="457"/>
    <col min="6916" max="6917" width="10.7265625" style="457" customWidth="1"/>
    <col min="6918" max="6918" width="4.7265625" style="457" customWidth="1"/>
    <col min="6919" max="6919" width="10.7265625" style="457" customWidth="1"/>
    <col min="6920" max="6921" width="4.7265625" style="457" customWidth="1"/>
    <col min="6922" max="6922" width="9.1796875" style="457" customWidth="1"/>
    <col min="6923" max="6923" width="4.7265625" style="457" customWidth="1"/>
    <col min="6924" max="6924" width="8.7265625" style="457" customWidth="1"/>
    <col min="6925" max="6927" width="9.1796875" style="457"/>
    <col min="6928" max="6930" width="15.7265625" style="457" customWidth="1"/>
    <col min="6931" max="7168" width="9.1796875" style="457"/>
    <col min="7169" max="7169" width="2.54296875" style="457" customWidth="1"/>
    <col min="7170" max="7170" width="9.1796875" style="457" customWidth="1"/>
    <col min="7171" max="7171" width="9.1796875" style="457"/>
    <col min="7172" max="7173" width="10.7265625" style="457" customWidth="1"/>
    <col min="7174" max="7174" width="4.7265625" style="457" customWidth="1"/>
    <col min="7175" max="7175" width="10.7265625" style="457" customWidth="1"/>
    <col min="7176" max="7177" width="4.7265625" style="457" customWidth="1"/>
    <col min="7178" max="7178" width="9.1796875" style="457" customWidth="1"/>
    <col min="7179" max="7179" width="4.7265625" style="457" customWidth="1"/>
    <col min="7180" max="7180" width="8.7265625" style="457" customWidth="1"/>
    <col min="7181" max="7183" width="9.1796875" style="457"/>
    <col min="7184" max="7186" width="15.7265625" style="457" customWidth="1"/>
    <col min="7187" max="7424" width="9.1796875" style="457"/>
    <col min="7425" max="7425" width="2.54296875" style="457" customWidth="1"/>
    <col min="7426" max="7426" width="9.1796875" style="457" customWidth="1"/>
    <col min="7427" max="7427" width="9.1796875" style="457"/>
    <col min="7428" max="7429" width="10.7265625" style="457" customWidth="1"/>
    <col min="7430" max="7430" width="4.7265625" style="457" customWidth="1"/>
    <col min="7431" max="7431" width="10.7265625" style="457" customWidth="1"/>
    <col min="7432" max="7433" width="4.7265625" style="457" customWidth="1"/>
    <col min="7434" max="7434" width="9.1796875" style="457" customWidth="1"/>
    <col min="7435" max="7435" width="4.7265625" style="457" customWidth="1"/>
    <col min="7436" max="7436" width="8.7265625" style="457" customWidth="1"/>
    <col min="7437" max="7439" width="9.1796875" style="457"/>
    <col min="7440" max="7442" width="15.7265625" style="457" customWidth="1"/>
    <col min="7443" max="7680" width="9.1796875" style="457"/>
    <col min="7681" max="7681" width="2.54296875" style="457" customWidth="1"/>
    <col min="7682" max="7682" width="9.1796875" style="457" customWidth="1"/>
    <col min="7683" max="7683" width="9.1796875" style="457"/>
    <col min="7684" max="7685" width="10.7265625" style="457" customWidth="1"/>
    <col min="7686" max="7686" width="4.7265625" style="457" customWidth="1"/>
    <col min="7687" max="7687" width="10.7265625" style="457" customWidth="1"/>
    <col min="7688" max="7689" width="4.7265625" style="457" customWidth="1"/>
    <col min="7690" max="7690" width="9.1796875" style="457" customWidth="1"/>
    <col min="7691" max="7691" width="4.7265625" style="457" customWidth="1"/>
    <col min="7692" max="7692" width="8.7265625" style="457" customWidth="1"/>
    <col min="7693" max="7695" width="9.1796875" style="457"/>
    <col min="7696" max="7698" width="15.7265625" style="457" customWidth="1"/>
    <col min="7699" max="7936" width="9.1796875" style="457"/>
    <col min="7937" max="7937" width="2.54296875" style="457" customWidth="1"/>
    <col min="7938" max="7938" width="9.1796875" style="457" customWidth="1"/>
    <col min="7939" max="7939" width="9.1796875" style="457"/>
    <col min="7940" max="7941" width="10.7265625" style="457" customWidth="1"/>
    <col min="7942" max="7942" width="4.7265625" style="457" customWidth="1"/>
    <col min="7943" max="7943" width="10.7265625" style="457" customWidth="1"/>
    <col min="7944" max="7945" width="4.7265625" style="457" customWidth="1"/>
    <col min="7946" max="7946" width="9.1796875" style="457" customWidth="1"/>
    <col min="7947" max="7947" width="4.7265625" style="457" customWidth="1"/>
    <col min="7948" max="7948" width="8.7265625" style="457" customWidth="1"/>
    <col min="7949" max="7951" width="9.1796875" style="457"/>
    <col min="7952" max="7954" width="15.7265625" style="457" customWidth="1"/>
    <col min="7955" max="8192" width="9.1796875" style="457"/>
    <col min="8193" max="8193" width="2.54296875" style="457" customWidth="1"/>
    <col min="8194" max="8194" width="9.1796875" style="457" customWidth="1"/>
    <col min="8195" max="8195" width="9.1796875" style="457"/>
    <col min="8196" max="8197" width="10.7265625" style="457" customWidth="1"/>
    <col min="8198" max="8198" width="4.7265625" style="457" customWidth="1"/>
    <col min="8199" max="8199" width="10.7265625" style="457" customWidth="1"/>
    <col min="8200" max="8201" width="4.7265625" style="457" customWidth="1"/>
    <col min="8202" max="8202" width="9.1796875" style="457" customWidth="1"/>
    <col min="8203" max="8203" width="4.7265625" style="457" customWidth="1"/>
    <col min="8204" max="8204" width="8.7265625" style="457" customWidth="1"/>
    <col min="8205" max="8207" width="9.1796875" style="457"/>
    <col min="8208" max="8210" width="15.7265625" style="457" customWidth="1"/>
    <col min="8211" max="8448" width="9.1796875" style="457"/>
    <col min="8449" max="8449" width="2.54296875" style="457" customWidth="1"/>
    <col min="8450" max="8450" width="9.1796875" style="457" customWidth="1"/>
    <col min="8451" max="8451" width="9.1796875" style="457"/>
    <col min="8452" max="8453" width="10.7265625" style="457" customWidth="1"/>
    <col min="8454" max="8454" width="4.7265625" style="457" customWidth="1"/>
    <col min="8455" max="8455" width="10.7265625" style="457" customWidth="1"/>
    <col min="8456" max="8457" width="4.7265625" style="457" customWidth="1"/>
    <col min="8458" max="8458" width="9.1796875" style="457" customWidth="1"/>
    <col min="8459" max="8459" width="4.7265625" style="457" customWidth="1"/>
    <col min="8460" max="8460" width="8.7265625" style="457" customWidth="1"/>
    <col min="8461" max="8463" width="9.1796875" style="457"/>
    <col min="8464" max="8466" width="15.7265625" style="457" customWidth="1"/>
    <col min="8467" max="8704" width="9.1796875" style="457"/>
    <col min="8705" max="8705" width="2.54296875" style="457" customWidth="1"/>
    <col min="8706" max="8706" width="9.1796875" style="457" customWidth="1"/>
    <col min="8707" max="8707" width="9.1796875" style="457"/>
    <col min="8708" max="8709" width="10.7265625" style="457" customWidth="1"/>
    <col min="8710" max="8710" width="4.7265625" style="457" customWidth="1"/>
    <col min="8711" max="8711" width="10.7265625" style="457" customWidth="1"/>
    <col min="8712" max="8713" width="4.7265625" style="457" customWidth="1"/>
    <col min="8714" max="8714" width="9.1796875" style="457" customWidth="1"/>
    <col min="8715" max="8715" width="4.7265625" style="457" customWidth="1"/>
    <col min="8716" max="8716" width="8.7265625" style="457" customWidth="1"/>
    <col min="8717" max="8719" width="9.1796875" style="457"/>
    <col min="8720" max="8722" width="15.7265625" style="457" customWidth="1"/>
    <col min="8723" max="8960" width="9.1796875" style="457"/>
    <col min="8961" max="8961" width="2.54296875" style="457" customWidth="1"/>
    <col min="8962" max="8962" width="9.1796875" style="457" customWidth="1"/>
    <col min="8963" max="8963" width="9.1796875" style="457"/>
    <col min="8964" max="8965" width="10.7265625" style="457" customWidth="1"/>
    <col min="8966" max="8966" width="4.7265625" style="457" customWidth="1"/>
    <col min="8967" max="8967" width="10.7265625" style="457" customWidth="1"/>
    <col min="8968" max="8969" width="4.7265625" style="457" customWidth="1"/>
    <col min="8970" max="8970" width="9.1796875" style="457" customWidth="1"/>
    <col min="8971" max="8971" width="4.7265625" style="457" customWidth="1"/>
    <col min="8972" max="8972" width="8.7265625" style="457" customWidth="1"/>
    <col min="8973" max="8975" width="9.1796875" style="457"/>
    <col min="8976" max="8978" width="15.7265625" style="457" customWidth="1"/>
    <col min="8979" max="9216" width="9.1796875" style="457"/>
    <col min="9217" max="9217" width="2.54296875" style="457" customWidth="1"/>
    <col min="9218" max="9218" width="9.1796875" style="457" customWidth="1"/>
    <col min="9219" max="9219" width="9.1796875" style="457"/>
    <col min="9220" max="9221" width="10.7265625" style="457" customWidth="1"/>
    <col min="9222" max="9222" width="4.7265625" style="457" customWidth="1"/>
    <col min="9223" max="9223" width="10.7265625" style="457" customWidth="1"/>
    <col min="9224" max="9225" width="4.7265625" style="457" customWidth="1"/>
    <col min="9226" max="9226" width="9.1796875" style="457" customWidth="1"/>
    <col min="9227" max="9227" width="4.7265625" style="457" customWidth="1"/>
    <col min="9228" max="9228" width="8.7265625" style="457" customWidth="1"/>
    <col min="9229" max="9231" width="9.1796875" style="457"/>
    <col min="9232" max="9234" width="15.7265625" style="457" customWidth="1"/>
    <col min="9235" max="9472" width="9.1796875" style="457"/>
    <col min="9473" max="9473" width="2.54296875" style="457" customWidth="1"/>
    <col min="9474" max="9474" width="9.1796875" style="457" customWidth="1"/>
    <col min="9475" max="9475" width="9.1796875" style="457"/>
    <col min="9476" max="9477" width="10.7265625" style="457" customWidth="1"/>
    <col min="9478" max="9478" width="4.7265625" style="457" customWidth="1"/>
    <col min="9479" max="9479" width="10.7265625" style="457" customWidth="1"/>
    <col min="9480" max="9481" width="4.7265625" style="457" customWidth="1"/>
    <col min="9482" max="9482" width="9.1796875" style="457" customWidth="1"/>
    <col min="9483" max="9483" width="4.7265625" style="457" customWidth="1"/>
    <col min="9484" max="9484" width="8.7265625" style="457" customWidth="1"/>
    <col min="9485" max="9487" width="9.1796875" style="457"/>
    <col min="9488" max="9490" width="15.7265625" style="457" customWidth="1"/>
    <col min="9491" max="9728" width="9.1796875" style="457"/>
    <col min="9729" max="9729" width="2.54296875" style="457" customWidth="1"/>
    <col min="9730" max="9730" width="9.1796875" style="457" customWidth="1"/>
    <col min="9731" max="9731" width="9.1796875" style="457"/>
    <col min="9732" max="9733" width="10.7265625" style="457" customWidth="1"/>
    <col min="9734" max="9734" width="4.7265625" style="457" customWidth="1"/>
    <col min="9735" max="9735" width="10.7265625" style="457" customWidth="1"/>
    <col min="9736" max="9737" width="4.7265625" style="457" customWidth="1"/>
    <col min="9738" max="9738" width="9.1796875" style="457" customWidth="1"/>
    <col min="9739" max="9739" width="4.7265625" style="457" customWidth="1"/>
    <col min="9740" max="9740" width="8.7265625" style="457" customWidth="1"/>
    <col min="9741" max="9743" width="9.1796875" style="457"/>
    <col min="9744" max="9746" width="15.7265625" style="457" customWidth="1"/>
    <col min="9747" max="9984" width="9.1796875" style="457"/>
    <col min="9985" max="9985" width="2.54296875" style="457" customWidth="1"/>
    <col min="9986" max="9986" width="9.1796875" style="457" customWidth="1"/>
    <col min="9987" max="9987" width="9.1796875" style="457"/>
    <col min="9988" max="9989" width="10.7265625" style="457" customWidth="1"/>
    <col min="9990" max="9990" width="4.7265625" style="457" customWidth="1"/>
    <col min="9991" max="9991" width="10.7265625" style="457" customWidth="1"/>
    <col min="9992" max="9993" width="4.7265625" style="457" customWidth="1"/>
    <col min="9994" max="9994" width="9.1796875" style="457" customWidth="1"/>
    <col min="9995" max="9995" width="4.7265625" style="457" customWidth="1"/>
    <col min="9996" max="9996" width="8.7265625" style="457" customWidth="1"/>
    <col min="9997" max="9999" width="9.1796875" style="457"/>
    <col min="10000" max="10002" width="15.7265625" style="457" customWidth="1"/>
    <col min="10003" max="10240" width="9.1796875" style="457"/>
    <col min="10241" max="10241" width="2.54296875" style="457" customWidth="1"/>
    <col min="10242" max="10242" width="9.1796875" style="457" customWidth="1"/>
    <col min="10243" max="10243" width="9.1796875" style="457"/>
    <col min="10244" max="10245" width="10.7265625" style="457" customWidth="1"/>
    <col min="10246" max="10246" width="4.7265625" style="457" customWidth="1"/>
    <col min="10247" max="10247" width="10.7265625" style="457" customWidth="1"/>
    <col min="10248" max="10249" width="4.7265625" style="457" customWidth="1"/>
    <col min="10250" max="10250" width="9.1796875" style="457" customWidth="1"/>
    <col min="10251" max="10251" width="4.7265625" style="457" customWidth="1"/>
    <col min="10252" max="10252" width="8.7265625" style="457" customWidth="1"/>
    <col min="10253" max="10255" width="9.1796875" style="457"/>
    <col min="10256" max="10258" width="15.7265625" style="457" customWidth="1"/>
    <col min="10259" max="10496" width="9.1796875" style="457"/>
    <col min="10497" max="10497" width="2.54296875" style="457" customWidth="1"/>
    <col min="10498" max="10498" width="9.1796875" style="457" customWidth="1"/>
    <col min="10499" max="10499" width="9.1796875" style="457"/>
    <col min="10500" max="10501" width="10.7265625" style="457" customWidth="1"/>
    <col min="10502" max="10502" width="4.7265625" style="457" customWidth="1"/>
    <col min="10503" max="10503" width="10.7265625" style="457" customWidth="1"/>
    <col min="10504" max="10505" width="4.7265625" style="457" customWidth="1"/>
    <col min="10506" max="10506" width="9.1796875" style="457" customWidth="1"/>
    <col min="10507" max="10507" width="4.7265625" style="457" customWidth="1"/>
    <col min="10508" max="10508" width="8.7265625" style="457" customWidth="1"/>
    <col min="10509" max="10511" width="9.1796875" style="457"/>
    <col min="10512" max="10514" width="15.7265625" style="457" customWidth="1"/>
    <col min="10515" max="10752" width="9.1796875" style="457"/>
    <col min="10753" max="10753" width="2.54296875" style="457" customWidth="1"/>
    <col min="10754" max="10754" width="9.1796875" style="457" customWidth="1"/>
    <col min="10755" max="10755" width="9.1796875" style="457"/>
    <col min="10756" max="10757" width="10.7265625" style="457" customWidth="1"/>
    <col min="10758" max="10758" width="4.7265625" style="457" customWidth="1"/>
    <col min="10759" max="10759" width="10.7265625" style="457" customWidth="1"/>
    <col min="10760" max="10761" width="4.7265625" style="457" customWidth="1"/>
    <col min="10762" max="10762" width="9.1796875" style="457" customWidth="1"/>
    <col min="10763" max="10763" width="4.7265625" style="457" customWidth="1"/>
    <col min="10764" max="10764" width="8.7265625" style="457" customWidth="1"/>
    <col min="10765" max="10767" width="9.1796875" style="457"/>
    <col min="10768" max="10770" width="15.7265625" style="457" customWidth="1"/>
    <col min="10771" max="11008" width="9.1796875" style="457"/>
    <col min="11009" max="11009" width="2.54296875" style="457" customWidth="1"/>
    <col min="11010" max="11010" width="9.1796875" style="457" customWidth="1"/>
    <col min="11011" max="11011" width="9.1796875" style="457"/>
    <col min="11012" max="11013" width="10.7265625" style="457" customWidth="1"/>
    <col min="11014" max="11014" width="4.7265625" style="457" customWidth="1"/>
    <col min="11015" max="11015" width="10.7265625" style="457" customWidth="1"/>
    <col min="11016" max="11017" width="4.7265625" style="457" customWidth="1"/>
    <col min="11018" max="11018" width="9.1796875" style="457" customWidth="1"/>
    <col min="11019" max="11019" width="4.7265625" style="457" customWidth="1"/>
    <col min="11020" max="11020" width="8.7265625" style="457" customWidth="1"/>
    <col min="11021" max="11023" width="9.1796875" style="457"/>
    <col min="11024" max="11026" width="15.7265625" style="457" customWidth="1"/>
    <col min="11027" max="11264" width="9.1796875" style="457"/>
    <col min="11265" max="11265" width="2.54296875" style="457" customWidth="1"/>
    <col min="11266" max="11266" width="9.1796875" style="457" customWidth="1"/>
    <col min="11267" max="11267" width="9.1796875" style="457"/>
    <col min="11268" max="11269" width="10.7265625" style="457" customWidth="1"/>
    <col min="11270" max="11270" width="4.7265625" style="457" customWidth="1"/>
    <col min="11271" max="11271" width="10.7265625" style="457" customWidth="1"/>
    <col min="11272" max="11273" width="4.7265625" style="457" customWidth="1"/>
    <col min="11274" max="11274" width="9.1796875" style="457" customWidth="1"/>
    <col min="11275" max="11275" width="4.7265625" style="457" customWidth="1"/>
    <col min="11276" max="11276" width="8.7265625" style="457" customWidth="1"/>
    <col min="11277" max="11279" width="9.1796875" style="457"/>
    <col min="11280" max="11282" width="15.7265625" style="457" customWidth="1"/>
    <col min="11283" max="11520" width="9.1796875" style="457"/>
    <col min="11521" max="11521" width="2.54296875" style="457" customWidth="1"/>
    <col min="11522" max="11522" width="9.1796875" style="457" customWidth="1"/>
    <col min="11523" max="11523" width="9.1796875" style="457"/>
    <col min="11524" max="11525" width="10.7265625" style="457" customWidth="1"/>
    <col min="11526" max="11526" width="4.7265625" style="457" customWidth="1"/>
    <col min="11527" max="11527" width="10.7265625" style="457" customWidth="1"/>
    <col min="11528" max="11529" width="4.7265625" style="457" customWidth="1"/>
    <col min="11530" max="11530" width="9.1796875" style="457" customWidth="1"/>
    <col min="11531" max="11531" width="4.7265625" style="457" customWidth="1"/>
    <col min="11532" max="11532" width="8.7265625" style="457" customWidth="1"/>
    <col min="11533" max="11535" width="9.1796875" style="457"/>
    <col min="11536" max="11538" width="15.7265625" style="457" customWidth="1"/>
    <col min="11539" max="11776" width="9.1796875" style="457"/>
    <col min="11777" max="11777" width="2.54296875" style="457" customWidth="1"/>
    <col min="11778" max="11778" width="9.1796875" style="457" customWidth="1"/>
    <col min="11779" max="11779" width="9.1796875" style="457"/>
    <col min="11780" max="11781" width="10.7265625" style="457" customWidth="1"/>
    <col min="11782" max="11782" width="4.7265625" style="457" customWidth="1"/>
    <col min="11783" max="11783" width="10.7265625" style="457" customWidth="1"/>
    <col min="11784" max="11785" width="4.7265625" style="457" customWidth="1"/>
    <col min="11786" max="11786" width="9.1796875" style="457" customWidth="1"/>
    <col min="11787" max="11787" width="4.7265625" style="457" customWidth="1"/>
    <col min="11788" max="11788" width="8.7265625" style="457" customWidth="1"/>
    <col min="11789" max="11791" width="9.1796875" style="457"/>
    <col min="11792" max="11794" width="15.7265625" style="457" customWidth="1"/>
    <col min="11795" max="12032" width="9.1796875" style="457"/>
    <col min="12033" max="12033" width="2.54296875" style="457" customWidth="1"/>
    <col min="12034" max="12034" width="9.1796875" style="457" customWidth="1"/>
    <col min="12035" max="12035" width="9.1796875" style="457"/>
    <col min="12036" max="12037" width="10.7265625" style="457" customWidth="1"/>
    <col min="12038" max="12038" width="4.7265625" style="457" customWidth="1"/>
    <col min="12039" max="12039" width="10.7265625" style="457" customWidth="1"/>
    <col min="12040" max="12041" width="4.7265625" style="457" customWidth="1"/>
    <col min="12042" max="12042" width="9.1796875" style="457" customWidth="1"/>
    <col min="12043" max="12043" width="4.7265625" style="457" customWidth="1"/>
    <col min="12044" max="12044" width="8.7265625" style="457" customWidth="1"/>
    <col min="12045" max="12047" width="9.1796875" style="457"/>
    <col min="12048" max="12050" width="15.7265625" style="457" customWidth="1"/>
    <col min="12051" max="12288" width="9.1796875" style="457"/>
    <col min="12289" max="12289" width="2.54296875" style="457" customWidth="1"/>
    <col min="12290" max="12290" width="9.1796875" style="457" customWidth="1"/>
    <col min="12291" max="12291" width="9.1796875" style="457"/>
    <col min="12292" max="12293" width="10.7265625" style="457" customWidth="1"/>
    <col min="12294" max="12294" width="4.7265625" style="457" customWidth="1"/>
    <col min="12295" max="12295" width="10.7265625" style="457" customWidth="1"/>
    <col min="12296" max="12297" width="4.7265625" style="457" customWidth="1"/>
    <col min="12298" max="12298" width="9.1796875" style="457" customWidth="1"/>
    <col min="12299" max="12299" width="4.7265625" style="457" customWidth="1"/>
    <col min="12300" max="12300" width="8.7265625" style="457" customWidth="1"/>
    <col min="12301" max="12303" width="9.1796875" style="457"/>
    <col min="12304" max="12306" width="15.7265625" style="457" customWidth="1"/>
    <col min="12307" max="12544" width="9.1796875" style="457"/>
    <col min="12545" max="12545" width="2.54296875" style="457" customWidth="1"/>
    <col min="12546" max="12546" width="9.1796875" style="457" customWidth="1"/>
    <col min="12547" max="12547" width="9.1796875" style="457"/>
    <col min="12548" max="12549" width="10.7265625" style="457" customWidth="1"/>
    <col min="12550" max="12550" width="4.7265625" style="457" customWidth="1"/>
    <col min="12551" max="12551" width="10.7265625" style="457" customWidth="1"/>
    <col min="12552" max="12553" width="4.7265625" style="457" customWidth="1"/>
    <col min="12554" max="12554" width="9.1796875" style="457" customWidth="1"/>
    <col min="12555" max="12555" width="4.7265625" style="457" customWidth="1"/>
    <col min="12556" max="12556" width="8.7265625" style="457" customWidth="1"/>
    <col min="12557" max="12559" width="9.1796875" style="457"/>
    <col min="12560" max="12562" width="15.7265625" style="457" customWidth="1"/>
    <col min="12563" max="12800" width="9.1796875" style="457"/>
    <col min="12801" max="12801" width="2.54296875" style="457" customWidth="1"/>
    <col min="12802" max="12802" width="9.1796875" style="457" customWidth="1"/>
    <col min="12803" max="12803" width="9.1796875" style="457"/>
    <col min="12804" max="12805" width="10.7265625" style="457" customWidth="1"/>
    <col min="12806" max="12806" width="4.7265625" style="457" customWidth="1"/>
    <col min="12807" max="12807" width="10.7265625" style="457" customWidth="1"/>
    <col min="12808" max="12809" width="4.7265625" style="457" customWidth="1"/>
    <col min="12810" max="12810" width="9.1796875" style="457" customWidth="1"/>
    <col min="12811" max="12811" width="4.7265625" style="457" customWidth="1"/>
    <col min="12812" max="12812" width="8.7265625" style="457" customWidth="1"/>
    <col min="12813" max="12815" width="9.1796875" style="457"/>
    <col min="12816" max="12818" width="15.7265625" style="457" customWidth="1"/>
    <col min="12819" max="13056" width="9.1796875" style="457"/>
    <col min="13057" max="13057" width="2.54296875" style="457" customWidth="1"/>
    <col min="13058" max="13058" width="9.1796875" style="457" customWidth="1"/>
    <col min="13059" max="13059" width="9.1796875" style="457"/>
    <col min="13060" max="13061" width="10.7265625" style="457" customWidth="1"/>
    <col min="13062" max="13062" width="4.7265625" style="457" customWidth="1"/>
    <col min="13063" max="13063" width="10.7265625" style="457" customWidth="1"/>
    <col min="13064" max="13065" width="4.7265625" style="457" customWidth="1"/>
    <col min="13066" max="13066" width="9.1796875" style="457" customWidth="1"/>
    <col min="13067" max="13067" width="4.7265625" style="457" customWidth="1"/>
    <col min="13068" max="13068" width="8.7265625" style="457" customWidth="1"/>
    <col min="13069" max="13071" width="9.1796875" style="457"/>
    <col min="13072" max="13074" width="15.7265625" style="457" customWidth="1"/>
    <col min="13075" max="13312" width="9.1796875" style="457"/>
    <col min="13313" max="13313" width="2.54296875" style="457" customWidth="1"/>
    <col min="13314" max="13314" width="9.1796875" style="457" customWidth="1"/>
    <col min="13315" max="13315" width="9.1796875" style="457"/>
    <col min="13316" max="13317" width="10.7265625" style="457" customWidth="1"/>
    <col min="13318" max="13318" width="4.7265625" style="457" customWidth="1"/>
    <col min="13319" max="13319" width="10.7265625" style="457" customWidth="1"/>
    <col min="13320" max="13321" width="4.7265625" style="457" customWidth="1"/>
    <col min="13322" max="13322" width="9.1796875" style="457" customWidth="1"/>
    <col min="13323" max="13323" width="4.7265625" style="457" customWidth="1"/>
    <col min="13324" max="13324" width="8.7265625" style="457" customWidth="1"/>
    <col min="13325" max="13327" width="9.1796875" style="457"/>
    <col min="13328" max="13330" width="15.7265625" style="457" customWidth="1"/>
    <col min="13331" max="13568" width="9.1796875" style="457"/>
    <col min="13569" max="13569" width="2.54296875" style="457" customWidth="1"/>
    <col min="13570" max="13570" width="9.1796875" style="457" customWidth="1"/>
    <col min="13571" max="13571" width="9.1796875" style="457"/>
    <col min="13572" max="13573" width="10.7265625" style="457" customWidth="1"/>
    <col min="13574" max="13574" width="4.7265625" style="457" customWidth="1"/>
    <col min="13575" max="13575" width="10.7265625" style="457" customWidth="1"/>
    <col min="13576" max="13577" width="4.7265625" style="457" customWidth="1"/>
    <col min="13578" max="13578" width="9.1796875" style="457" customWidth="1"/>
    <col min="13579" max="13579" width="4.7265625" style="457" customWidth="1"/>
    <col min="13580" max="13580" width="8.7265625" style="457" customWidth="1"/>
    <col min="13581" max="13583" width="9.1796875" style="457"/>
    <col min="13584" max="13586" width="15.7265625" style="457" customWidth="1"/>
    <col min="13587" max="13824" width="9.1796875" style="457"/>
    <col min="13825" max="13825" width="2.54296875" style="457" customWidth="1"/>
    <col min="13826" max="13826" width="9.1796875" style="457" customWidth="1"/>
    <col min="13827" max="13827" width="9.1796875" style="457"/>
    <col min="13828" max="13829" width="10.7265625" style="457" customWidth="1"/>
    <col min="13830" max="13830" width="4.7265625" style="457" customWidth="1"/>
    <col min="13831" max="13831" width="10.7265625" style="457" customWidth="1"/>
    <col min="13832" max="13833" width="4.7265625" style="457" customWidth="1"/>
    <col min="13834" max="13834" width="9.1796875" style="457" customWidth="1"/>
    <col min="13835" max="13835" width="4.7265625" style="457" customWidth="1"/>
    <col min="13836" max="13836" width="8.7265625" style="457" customWidth="1"/>
    <col min="13837" max="13839" width="9.1796875" style="457"/>
    <col min="13840" max="13842" width="15.7265625" style="457" customWidth="1"/>
    <col min="13843" max="14080" width="9.1796875" style="457"/>
    <col min="14081" max="14081" width="2.54296875" style="457" customWidth="1"/>
    <col min="14082" max="14082" width="9.1796875" style="457" customWidth="1"/>
    <col min="14083" max="14083" width="9.1796875" style="457"/>
    <col min="14084" max="14085" width="10.7265625" style="457" customWidth="1"/>
    <col min="14086" max="14086" width="4.7265625" style="457" customWidth="1"/>
    <col min="14087" max="14087" width="10.7265625" style="457" customWidth="1"/>
    <col min="14088" max="14089" width="4.7265625" style="457" customWidth="1"/>
    <col min="14090" max="14090" width="9.1796875" style="457" customWidth="1"/>
    <col min="14091" max="14091" width="4.7265625" style="457" customWidth="1"/>
    <col min="14092" max="14092" width="8.7265625" style="457" customWidth="1"/>
    <col min="14093" max="14095" width="9.1796875" style="457"/>
    <col min="14096" max="14098" width="15.7265625" style="457" customWidth="1"/>
    <col min="14099" max="14336" width="9.1796875" style="457"/>
    <col min="14337" max="14337" width="2.54296875" style="457" customWidth="1"/>
    <col min="14338" max="14338" width="9.1796875" style="457" customWidth="1"/>
    <col min="14339" max="14339" width="9.1796875" style="457"/>
    <col min="14340" max="14341" width="10.7265625" style="457" customWidth="1"/>
    <col min="14342" max="14342" width="4.7265625" style="457" customWidth="1"/>
    <col min="14343" max="14343" width="10.7265625" style="457" customWidth="1"/>
    <col min="14344" max="14345" width="4.7265625" style="457" customWidth="1"/>
    <col min="14346" max="14346" width="9.1796875" style="457" customWidth="1"/>
    <col min="14347" max="14347" width="4.7265625" style="457" customWidth="1"/>
    <col min="14348" max="14348" width="8.7265625" style="457" customWidth="1"/>
    <col min="14349" max="14351" width="9.1796875" style="457"/>
    <col min="14352" max="14354" width="15.7265625" style="457" customWidth="1"/>
    <col min="14355" max="14592" width="9.1796875" style="457"/>
    <col min="14593" max="14593" width="2.54296875" style="457" customWidth="1"/>
    <col min="14594" max="14594" width="9.1796875" style="457" customWidth="1"/>
    <col min="14595" max="14595" width="9.1796875" style="457"/>
    <col min="14596" max="14597" width="10.7265625" style="457" customWidth="1"/>
    <col min="14598" max="14598" width="4.7265625" style="457" customWidth="1"/>
    <col min="14599" max="14599" width="10.7265625" style="457" customWidth="1"/>
    <col min="14600" max="14601" width="4.7265625" style="457" customWidth="1"/>
    <col min="14602" max="14602" width="9.1796875" style="457" customWidth="1"/>
    <col min="14603" max="14603" width="4.7265625" style="457" customWidth="1"/>
    <col min="14604" max="14604" width="8.7265625" style="457" customWidth="1"/>
    <col min="14605" max="14607" width="9.1796875" style="457"/>
    <col min="14608" max="14610" width="15.7265625" style="457" customWidth="1"/>
    <col min="14611" max="14848" width="9.1796875" style="457"/>
    <col min="14849" max="14849" width="2.54296875" style="457" customWidth="1"/>
    <col min="14850" max="14850" width="9.1796875" style="457" customWidth="1"/>
    <col min="14851" max="14851" width="9.1796875" style="457"/>
    <col min="14852" max="14853" width="10.7265625" style="457" customWidth="1"/>
    <col min="14854" max="14854" width="4.7265625" style="457" customWidth="1"/>
    <col min="14855" max="14855" width="10.7265625" style="457" customWidth="1"/>
    <col min="14856" max="14857" width="4.7265625" style="457" customWidth="1"/>
    <col min="14858" max="14858" width="9.1796875" style="457" customWidth="1"/>
    <col min="14859" max="14859" width="4.7265625" style="457" customWidth="1"/>
    <col min="14860" max="14860" width="8.7265625" style="457" customWidth="1"/>
    <col min="14861" max="14863" width="9.1796875" style="457"/>
    <col min="14864" max="14866" width="15.7265625" style="457" customWidth="1"/>
    <col min="14867" max="15104" width="9.1796875" style="457"/>
    <col min="15105" max="15105" width="2.54296875" style="457" customWidth="1"/>
    <col min="15106" max="15106" width="9.1796875" style="457" customWidth="1"/>
    <col min="15107" max="15107" width="9.1796875" style="457"/>
    <col min="15108" max="15109" width="10.7265625" style="457" customWidth="1"/>
    <col min="15110" max="15110" width="4.7265625" style="457" customWidth="1"/>
    <col min="15111" max="15111" width="10.7265625" style="457" customWidth="1"/>
    <col min="15112" max="15113" width="4.7265625" style="457" customWidth="1"/>
    <col min="15114" max="15114" width="9.1796875" style="457" customWidth="1"/>
    <col min="15115" max="15115" width="4.7265625" style="457" customWidth="1"/>
    <col min="15116" max="15116" width="8.7265625" style="457" customWidth="1"/>
    <col min="15117" max="15119" width="9.1796875" style="457"/>
    <col min="15120" max="15122" width="15.7265625" style="457" customWidth="1"/>
    <col min="15123" max="15360" width="9.1796875" style="457"/>
    <col min="15361" max="15361" width="2.54296875" style="457" customWidth="1"/>
    <col min="15362" max="15362" width="9.1796875" style="457" customWidth="1"/>
    <col min="15363" max="15363" width="9.1796875" style="457"/>
    <col min="15364" max="15365" width="10.7265625" style="457" customWidth="1"/>
    <col min="15366" max="15366" width="4.7265625" style="457" customWidth="1"/>
    <col min="15367" max="15367" width="10.7265625" style="457" customWidth="1"/>
    <col min="15368" max="15369" width="4.7265625" style="457" customWidth="1"/>
    <col min="15370" max="15370" width="9.1796875" style="457" customWidth="1"/>
    <col min="15371" max="15371" width="4.7265625" style="457" customWidth="1"/>
    <col min="15372" max="15372" width="8.7265625" style="457" customWidth="1"/>
    <col min="15373" max="15375" width="9.1796875" style="457"/>
    <col min="15376" max="15378" width="15.7265625" style="457" customWidth="1"/>
    <col min="15379" max="15616" width="9.1796875" style="457"/>
    <col min="15617" max="15617" width="2.54296875" style="457" customWidth="1"/>
    <col min="15618" max="15618" width="9.1796875" style="457" customWidth="1"/>
    <col min="15619" max="15619" width="9.1796875" style="457"/>
    <col min="15620" max="15621" width="10.7265625" style="457" customWidth="1"/>
    <col min="15622" max="15622" width="4.7265625" style="457" customWidth="1"/>
    <col min="15623" max="15623" width="10.7265625" style="457" customWidth="1"/>
    <col min="15624" max="15625" width="4.7265625" style="457" customWidth="1"/>
    <col min="15626" max="15626" width="9.1796875" style="457" customWidth="1"/>
    <col min="15627" max="15627" width="4.7265625" style="457" customWidth="1"/>
    <col min="15628" max="15628" width="8.7265625" style="457" customWidth="1"/>
    <col min="15629" max="15631" width="9.1796875" style="457"/>
    <col min="15632" max="15634" width="15.7265625" style="457" customWidth="1"/>
    <col min="15635" max="15872" width="9.1796875" style="457"/>
    <col min="15873" max="15873" width="2.54296875" style="457" customWidth="1"/>
    <col min="15874" max="15874" width="9.1796875" style="457" customWidth="1"/>
    <col min="15875" max="15875" width="9.1796875" style="457"/>
    <col min="15876" max="15877" width="10.7265625" style="457" customWidth="1"/>
    <col min="15878" max="15878" width="4.7265625" style="457" customWidth="1"/>
    <col min="15879" max="15879" width="10.7265625" style="457" customWidth="1"/>
    <col min="15880" max="15881" width="4.7265625" style="457" customWidth="1"/>
    <col min="15882" max="15882" width="9.1796875" style="457" customWidth="1"/>
    <col min="15883" max="15883" width="4.7265625" style="457" customWidth="1"/>
    <col min="15884" max="15884" width="8.7265625" style="457" customWidth="1"/>
    <col min="15885" max="15887" width="9.1796875" style="457"/>
    <col min="15888" max="15890" width="15.7265625" style="457" customWidth="1"/>
    <col min="15891" max="16128" width="9.1796875" style="457"/>
    <col min="16129" max="16129" width="2.54296875" style="457" customWidth="1"/>
    <col min="16130" max="16130" width="9.1796875" style="457" customWidth="1"/>
    <col min="16131" max="16131" width="9.1796875" style="457"/>
    <col min="16132" max="16133" width="10.7265625" style="457" customWidth="1"/>
    <col min="16134" max="16134" width="4.7265625" style="457" customWidth="1"/>
    <col min="16135" max="16135" width="10.7265625" style="457" customWidth="1"/>
    <col min="16136" max="16137" width="4.7265625" style="457" customWidth="1"/>
    <col min="16138" max="16138" width="9.1796875" style="457" customWidth="1"/>
    <col min="16139" max="16139" width="4.7265625" style="457" customWidth="1"/>
    <col min="16140" max="16140" width="8.7265625" style="457" customWidth="1"/>
    <col min="16141" max="16143" width="9.1796875" style="457"/>
    <col min="16144" max="16146" width="15.7265625" style="457" customWidth="1"/>
    <col min="16147" max="16384" width="9.1796875" style="457"/>
  </cols>
  <sheetData>
    <row r="1" spans="2:16" ht="13">
      <c r="B1" s="456" t="s">
        <v>273</v>
      </c>
      <c r="C1" s="456"/>
      <c r="D1" s="456"/>
      <c r="E1" s="456"/>
      <c r="F1" s="456"/>
      <c r="G1" s="456"/>
    </row>
    <row r="2" spans="2:16" ht="13">
      <c r="B2" s="456" t="s">
        <v>274</v>
      </c>
      <c r="C2" s="456"/>
      <c r="D2" s="456"/>
      <c r="E2" s="456"/>
      <c r="F2" s="456"/>
      <c r="G2" s="456"/>
    </row>
    <row r="5" spans="2:16" ht="13">
      <c r="C5" s="458" t="s">
        <v>275</v>
      </c>
      <c r="D5" s="677"/>
      <c r="E5" s="678"/>
      <c r="I5" s="458" t="s">
        <v>276</v>
      </c>
      <c r="J5" s="459"/>
    </row>
    <row r="7" spans="2:16" ht="13">
      <c r="D7" s="458" t="s">
        <v>277</v>
      </c>
      <c r="E7" s="460"/>
      <c r="F7" s="461"/>
    </row>
    <row r="9" spans="2:16" ht="13">
      <c r="C9" s="679" t="s">
        <v>278</v>
      </c>
      <c r="D9" s="679"/>
      <c r="G9" s="462"/>
      <c r="H9" s="462"/>
      <c r="I9" s="463" t="s">
        <v>279</v>
      </c>
      <c r="J9" s="463"/>
      <c r="K9" s="464"/>
      <c r="L9" s="462"/>
    </row>
    <row r="10" spans="2:16">
      <c r="B10" s="457" t="s">
        <v>280</v>
      </c>
      <c r="E10" s="460"/>
      <c r="F10" s="465" t="s">
        <v>281</v>
      </c>
      <c r="J10" s="466"/>
      <c r="K10" s="467" t="s">
        <v>282</v>
      </c>
    </row>
    <row r="11" spans="2:16">
      <c r="B11" s="457" t="s">
        <v>283</v>
      </c>
      <c r="E11" s="468"/>
      <c r="F11" s="465" t="s">
        <v>284</v>
      </c>
      <c r="J11" s="469"/>
      <c r="K11" s="467" t="s">
        <v>285</v>
      </c>
      <c r="P11" s="461"/>
    </row>
    <row r="12" spans="2:16">
      <c r="B12" s="457" t="s">
        <v>286</v>
      </c>
      <c r="E12" s="468"/>
      <c r="F12" s="465" t="s">
        <v>287</v>
      </c>
      <c r="J12" s="469"/>
      <c r="K12" s="467" t="s">
        <v>288</v>
      </c>
    </row>
    <row r="13" spans="2:16">
      <c r="B13" s="457" t="s">
        <v>289</v>
      </c>
      <c r="E13" s="468"/>
      <c r="F13" s="465" t="s">
        <v>290</v>
      </c>
      <c r="J13" s="469"/>
      <c r="K13" s="467" t="s">
        <v>291</v>
      </c>
    </row>
    <row r="14" spans="2:16">
      <c r="B14" s="457" t="s">
        <v>292</v>
      </c>
      <c r="E14" s="469"/>
      <c r="F14" s="465" t="s">
        <v>293</v>
      </c>
      <c r="K14" s="467"/>
    </row>
    <row r="15" spans="2:16">
      <c r="B15" s="457" t="s">
        <v>294</v>
      </c>
      <c r="E15" s="470"/>
      <c r="F15" s="465" t="s">
        <v>295</v>
      </c>
      <c r="K15" s="467"/>
    </row>
    <row r="16" spans="2:16">
      <c r="B16" s="457" t="s">
        <v>296</v>
      </c>
      <c r="E16" s="468"/>
      <c r="F16" s="465" t="s">
        <v>297</v>
      </c>
      <c r="J16" s="466"/>
      <c r="K16" s="467" t="s">
        <v>298</v>
      </c>
    </row>
    <row r="17" spans="2:18">
      <c r="B17" s="457" t="s">
        <v>299</v>
      </c>
      <c r="E17" s="468"/>
      <c r="F17" s="465" t="s">
        <v>300</v>
      </c>
      <c r="J17" s="469"/>
      <c r="K17" s="467" t="s">
        <v>301</v>
      </c>
    </row>
    <row r="18" spans="2:18">
      <c r="B18" s="457" t="s">
        <v>302</v>
      </c>
      <c r="E18" s="468"/>
      <c r="F18" s="465" t="s">
        <v>303</v>
      </c>
      <c r="J18" s="469"/>
      <c r="K18" s="467" t="s">
        <v>304</v>
      </c>
    </row>
    <row r="20" spans="2:18">
      <c r="B20" s="457" t="s">
        <v>305</v>
      </c>
      <c r="E20" s="471">
        <f>ROUND(SUM(E10:E13)*E14,0)</f>
        <v>0</v>
      </c>
      <c r="F20" s="472" t="s">
        <v>306</v>
      </c>
    </row>
    <row r="23" spans="2:18">
      <c r="C23" s="473" t="s">
        <v>307</v>
      </c>
      <c r="G23" s="474">
        <f>IF(E10=0,0,ROUND(E10/(J10*62.4),2))</f>
        <v>0</v>
      </c>
      <c r="H23" s="465" t="s">
        <v>308</v>
      </c>
      <c r="R23" s="467"/>
    </row>
    <row r="24" spans="2:18">
      <c r="C24" s="473" t="s">
        <v>309</v>
      </c>
      <c r="G24" s="475">
        <f>IF(E11=0,0,ROUND(E11/(J11*62.4),2))</f>
        <v>0</v>
      </c>
      <c r="H24" s="467" t="s">
        <v>310</v>
      </c>
    </row>
    <row r="25" spans="2:18">
      <c r="C25" s="473" t="s">
        <v>311</v>
      </c>
      <c r="G25" s="475">
        <f>IF(E12=0,0,ROUND(E12/(J12*62.4),2))</f>
        <v>0</v>
      </c>
      <c r="H25" s="467" t="s">
        <v>312</v>
      </c>
    </row>
    <row r="26" spans="2:18">
      <c r="C26" s="473" t="s">
        <v>313</v>
      </c>
      <c r="G26" s="475">
        <f>IF(E13=0,0,ROUND(E13/(J13*62.4),2))</f>
        <v>0</v>
      </c>
      <c r="H26" s="467" t="s">
        <v>314</v>
      </c>
    </row>
    <row r="27" spans="2:18">
      <c r="C27" s="473" t="s">
        <v>315</v>
      </c>
      <c r="G27" s="475">
        <f>ROUND((E15/100)*27,2)</f>
        <v>0</v>
      </c>
      <c r="H27" s="467" t="s">
        <v>316</v>
      </c>
    </row>
    <row r="28" spans="2:18">
      <c r="C28" s="473" t="s">
        <v>317</v>
      </c>
      <c r="G28" s="475">
        <f>ROUND(E20/62.4,2)</f>
        <v>0</v>
      </c>
      <c r="H28" s="467" t="s">
        <v>318</v>
      </c>
    </row>
    <row r="29" spans="2:18">
      <c r="C29" s="457" t="s">
        <v>319</v>
      </c>
      <c r="G29" s="461"/>
      <c r="H29" s="467"/>
    </row>
    <row r="30" spans="2:18">
      <c r="C30" s="457" t="s">
        <v>320</v>
      </c>
      <c r="G30" s="474">
        <f>27-G23-G24-G25-G26-G27-G28</f>
        <v>27</v>
      </c>
      <c r="H30" s="467" t="s">
        <v>321</v>
      </c>
    </row>
    <row r="31" spans="2:18">
      <c r="C31" s="457" t="s">
        <v>322</v>
      </c>
      <c r="H31" s="467"/>
      <c r="Q31" s="467"/>
      <c r="R31" s="467"/>
    </row>
    <row r="32" spans="2:18">
      <c r="C32" s="473" t="s">
        <v>323</v>
      </c>
      <c r="G32" s="471">
        <f>IF(E16=0,0,ROUND((62.4*(E16/100)*J16*G30),0))</f>
        <v>0</v>
      </c>
      <c r="H32" s="467" t="s">
        <v>324</v>
      </c>
      <c r="L32" s="473"/>
      <c r="Q32" s="476"/>
      <c r="R32" s="467"/>
    </row>
    <row r="33" spans="3:18">
      <c r="C33" s="457" t="s">
        <v>325</v>
      </c>
      <c r="H33" s="467"/>
      <c r="L33" s="473"/>
      <c r="Q33" s="476"/>
      <c r="R33" s="467"/>
    </row>
    <row r="34" spans="3:18">
      <c r="C34" s="473" t="s">
        <v>326</v>
      </c>
      <c r="G34" s="471">
        <f>IF(E17=0,0,ROUND((62.4*(E17/100)*J17*G30),0))</f>
        <v>0</v>
      </c>
      <c r="H34" s="467" t="s">
        <v>327</v>
      </c>
      <c r="L34" s="473"/>
      <c r="Q34" s="476"/>
      <c r="R34" s="467"/>
    </row>
    <row r="35" spans="3:18">
      <c r="C35" s="457" t="s">
        <v>328</v>
      </c>
      <c r="L35" s="473"/>
      <c r="Q35" s="476"/>
      <c r="R35" s="467"/>
    </row>
    <row r="36" spans="3:18">
      <c r="C36" s="457" t="s">
        <v>329</v>
      </c>
      <c r="G36" s="471">
        <f>IF(E18=0,0,ROUND((62.4*(E18/100)*J18*G30),0))</f>
        <v>0</v>
      </c>
      <c r="H36" s="467" t="s">
        <v>330</v>
      </c>
      <c r="L36" s="473"/>
      <c r="Q36" s="476"/>
      <c r="R36" s="467"/>
    </row>
    <row r="38" spans="3:18" ht="13">
      <c r="D38" s="456" t="s">
        <v>331</v>
      </c>
    </row>
    <row r="40" spans="3:18">
      <c r="D40" s="457" t="s">
        <v>332</v>
      </c>
      <c r="G40" s="471">
        <f>E10</f>
        <v>0</v>
      </c>
      <c r="H40" s="477" t="s">
        <v>333</v>
      </c>
      <c r="I40" s="467" t="s">
        <v>281</v>
      </c>
    </row>
    <row r="41" spans="3:18">
      <c r="D41" s="457" t="s">
        <v>334</v>
      </c>
      <c r="G41" s="478">
        <f>E11</f>
        <v>0</v>
      </c>
      <c r="H41" s="477" t="s">
        <v>333</v>
      </c>
      <c r="I41" s="467" t="s">
        <v>284</v>
      </c>
    </row>
    <row r="42" spans="3:18">
      <c r="D42" s="457" t="s">
        <v>335</v>
      </c>
      <c r="G42" s="478">
        <f>E12</f>
        <v>0</v>
      </c>
      <c r="H42" s="477" t="s">
        <v>333</v>
      </c>
      <c r="I42" s="467" t="s">
        <v>287</v>
      </c>
    </row>
    <row r="43" spans="3:18">
      <c r="D43" s="457" t="s">
        <v>336</v>
      </c>
      <c r="G43" s="478">
        <f>E13</f>
        <v>0</v>
      </c>
      <c r="H43" s="477" t="s">
        <v>333</v>
      </c>
      <c r="I43" s="467" t="s">
        <v>290</v>
      </c>
    </row>
    <row r="44" spans="3:18">
      <c r="D44" s="457" t="s">
        <v>337</v>
      </c>
      <c r="G44" s="478">
        <f>G32</f>
        <v>0</v>
      </c>
      <c r="H44" s="477" t="s">
        <v>333</v>
      </c>
      <c r="I44" s="467" t="s">
        <v>324</v>
      </c>
    </row>
    <row r="45" spans="3:18">
      <c r="D45" s="457" t="s">
        <v>338</v>
      </c>
      <c r="G45" s="478">
        <f>G34</f>
        <v>0</v>
      </c>
      <c r="H45" s="477" t="s">
        <v>333</v>
      </c>
      <c r="I45" s="467" t="s">
        <v>327</v>
      </c>
    </row>
    <row r="46" spans="3:18">
      <c r="D46" s="457" t="s">
        <v>339</v>
      </c>
      <c r="G46" s="478">
        <f>G36</f>
        <v>0</v>
      </c>
      <c r="H46" s="477" t="s">
        <v>333</v>
      </c>
      <c r="I46" s="467" t="s">
        <v>330</v>
      </c>
    </row>
    <row r="47" spans="3:18">
      <c r="D47" s="457" t="s">
        <v>340</v>
      </c>
      <c r="G47" s="478">
        <f>E20</f>
        <v>0</v>
      </c>
      <c r="H47" s="477" t="s">
        <v>333</v>
      </c>
      <c r="I47" s="467" t="s">
        <v>306</v>
      </c>
    </row>
  </sheetData>
  <sheetProtection password="8279" sheet="1" objects="1" scenarios="1" selectLockedCells="1"/>
  <mergeCells count="2">
    <mergeCell ref="D5:E5"/>
    <mergeCell ref="C9:D9"/>
  </mergeCells>
  <pageMargins left="0.5" right="0.5" top="1.25" bottom="0.75" header="0.5" footer="0.5"/>
  <pageSetup orientation="portrait" r:id="rId1"/>
  <headerFooter alignWithMargins="0">
    <oddHeader xml:space="preserve">&amp;L&amp;G&amp;CContractor Mix Design </oddHeader>
    <oddFooter>&amp;CSubmit to Project Manager</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P26"/>
  <sheetViews>
    <sheetView showGridLines="0" showRowColHeaders="0" zoomScale="70" zoomScaleNormal="70" workbookViewId="0">
      <selection activeCell="A7" sqref="A7:C7"/>
    </sheetView>
  </sheetViews>
  <sheetFormatPr defaultRowHeight="12.5"/>
  <cols>
    <col min="1" max="2" width="8.81640625" style="446"/>
    <col min="3" max="3" width="25.26953125" style="446" customWidth="1"/>
    <col min="4" max="11" width="8.81640625" style="446"/>
    <col min="12" max="12" width="11.81640625" style="446" customWidth="1"/>
    <col min="13" max="258" width="8.81640625" style="446"/>
    <col min="259" max="259" width="25.26953125" style="446" customWidth="1"/>
    <col min="260" max="267" width="8.81640625" style="446"/>
    <col min="268" max="268" width="11.81640625" style="446" customWidth="1"/>
    <col min="269" max="514" width="8.81640625" style="446"/>
    <col min="515" max="515" width="25.26953125" style="446" customWidth="1"/>
    <col min="516" max="523" width="8.81640625" style="446"/>
    <col min="524" max="524" width="11.81640625" style="446" customWidth="1"/>
    <col min="525" max="770" width="8.81640625" style="446"/>
    <col min="771" max="771" width="25.26953125" style="446" customWidth="1"/>
    <col min="772" max="779" width="8.81640625" style="446"/>
    <col min="780" max="780" width="11.81640625" style="446" customWidth="1"/>
    <col min="781" max="1026" width="8.81640625" style="446"/>
    <col min="1027" max="1027" width="25.26953125" style="446" customWidth="1"/>
    <col min="1028" max="1035" width="8.81640625" style="446"/>
    <col min="1036" max="1036" width="11.81640625" style="446" customWidth="1"/>
    <col min="1037" max="1282" width="8.81640625" style="446"/>
    <col min="1283" max="1283" width="25.26953125" style="446" customWidth="1"/>
    <col min="1284" max="1291" width="8.81640625" style="446"/>
    <col min="1292" max="1292" width="11.81640625" style="446" customWidth="1"/>
    <col min="1293" max="1538" width="8.81640625" style="446"/>
    <col min="1539" max="1539" width="25.26953125" style="446" customWidth="1"/>
    <col min="1540" max="1547" width="8.81640625" style="446"/>
    <col min="1548" max="1548" width="11.81640625" style="446" customWidth="1"/>
    <col min="1549" max="1794" width="8.81640625" style="446"/>
    <col min="1795" max="1795" width="25.26953125" style="446" customWidth="1"/>
    <col min="1796" max="1803" width="8.81640625" style="446"/>
    <col min="1804" max="1804" width="11.81640625" style="446" customWidth="1"/>
    <col min="1805" max="2050" width="8.81640625" style="446"/>
    <col min="2051" max="2051" width="25.26953125" style="446" customWidth="1"/>
    <col min="2052" max="2059" width="8.81640625" style="446"/>
    <col min="2060" max="2060" width="11.81640625" style="446" customWidth="1"/>
    <col min="2061" max="2306" width="8.81640625" style="446"/>
    <col min="2307" max="2307" width="25.26953125" style="446" customWidth="1"/>
    <col min="2308" max="2315" width="8.81640625" style="446"/>
    <col min="2316" max="2316" width="11.81640625" style="446" customWidth="1"/>
    <col min="2317" max="2562" width="8.81640625" style="446"/>
    <col min="2563" max="2563" width="25.26953125" style="446" customWidth="1"/>
    <col min="2564" max="2571" width="8.81640625" style="446"/>
    <col min="2572" max="2572" width="11.81640625" style="446" customWidth="1"/>
    <col min="2573" max="2818" width="8.81640625" style="446"/>
    <col min="2819" max="2819" width="25.26953125" style="446" customWidth="1"/>
    <col min="2820" max="2827" width="8.81640625" style="446"/>
    <col min="2828" max="2828" width="11.81640625" style="446" customWidth="1"/>
    <col min="2829" max="3074" width="8.81640625" style="446"/>
    <col min="3075" max="3075" width="25.26953125" style="446" customWidth="1"/>
    <col min="3076" max="3083" width="8.81640625" style="446"/>
    <col min="3084" max="3084" width="11.81640625" style="446" customWidth="1"/>
    <col min="3085" max="3330" width="8.81640625" style="446"/>
    <col min="3331" max="3331" width="25.26953125" style="446" customWidth="1"/>
    <col min="3332" max="3339" width="8.81640625" style="446"/>
    <col min="3340" max="3340" width="11.81640625" style="446" customWidth="1"/>
    <col min="3341" max="3586" width="8.81640625" style="446"/>
    <col min="3587" max="3587" width="25.26953125" style="446" customWidth="1"/>
    <col min="3588" max="3595" width="8.81640625" style="446"/>
    <col min="3596" max="3596" width="11.81640625" style="446" customWidth="1"/>
    <col min="3597" max="3842" width="8.81640625" style="446"/>
    <col min="3843" max="3843" width="25.26953125" style="446" customWidth="1"/>
    <col min="3844" max="3851" width="8.81640625" style="446"/>
    <col min="3852" max="3852" width="11.81640625" style="446" customWidth="1"/>
    <col min="3853" max="4098" width="8.81640625" style="446"/>
    <col min="4099" max="4099" width="25.26953125" style="446" customWidth="1"/>
    <col min="4100" max="4107" width="8.81640625" style="446"/>
    <col min="4108" max="4108" width="11.81640625" style="446" customWidth="1"/>
    <col min="4109" max="4354" width="8.81640625" style="446"/>
    <col min="4355" max="4355" width="25.26953125" style="446" customWidth="1"/>
    <col min="4356" max="4363" width="8.81640625" style="446"/>
    <col min="4364" max="4364" width="11.81640625" style="446" customWidth="1"/>
    <col min="4365" max="4610" width="8.81640625" style="446"/>
    <col min="4611" max="4611" width="25.26953125" style="446" customWidth="1"/>
    <col min="4612" max="4619" width="8.81640625" style="446"/>
    <col min="4620" max="4620" width="11.81640625" style="446" customWidth="1"/>
    <col min="4621" max="4866" width="8.81640625" style="446"/>
    <col min="4867" max="4867" width="25.26953125" style="446" customWidth="1"/>
    <col min="4868" max="4875" width="8.81640625" style="446"/>
    <col min="4876" max="4876" width="11.81640625" style="446" customWidth="1"/>
    <col min="4877" max="5122" width="8.81640625" style="446"/>
    <col min="5123" max="5123" width="25.26953125" style="446" customWidth="1"/>
    <col min="5124" max="5131" width="8.81640625" style="446"/>
    <col min="5132" max="5132" width="11.81640625" style="446" customWidth="1"/>
    <col min="5133" max="5378" width="8.81640625" style="446"/>
    <col min="5379" max="5379" width="25.26953125" style="446" customWidth="1"/>
    <col min="5380" max="5387" width="8.81640625" style="446"/>
    <col min="5388" max="5388" width="11.81640625" style="446" customWidth="1"/>
    <col min="5389" max="5634" width="8.81640625" style="446"/>
    <col min="5635" max="5635" width="25.26953125" style="446" customWidth="1"/>
    <col min="5636" max="5643" width="8.81640625" style="446"/>
    <col min="5644" max="5644" width="11.81640625" style="446" customWidth="1"/>
    <col min="5645" max="5890" width="8.81640625" style="446"/>
    <col min="5891" max="5891" width="25.26953125" style="446" customWidth="1"/>
    <col min="5892" max="5899" width="8.81640625" style="446"/>
    <col min="5900" max="5900" width="11.81640625" style="446" customWidth="1"/>
    <col min="5901" max="6146" width="8.81640625" style="446"/>
    <col min="6147" max="6147" width="25.26953125" style="446" customWidth="1"/>
    <col min="6148" max="6155" width="8.81640625" style="446"/>
    <col min="6156" max="6156" width="11.81640625" style="446" customWidth="1"/>
    <col min="6157" max="6402" width="8.81640625" style="446"/>
    <col min="6403" max="6403" width="25.26953125" style="446" customWidth="1"/>
    <col min="6404" max="6411" width="8.81640625" style="446"/>
    <col min="6412" max="6412" width="11.81640625" style="446" customWidth="1"/>
    <col min="6413" max="6658" width="8.81640625" style="446"/>
    <col min="6659" max="6659" width="25.26953125" style="446" customWidth="1"/>
    <col min="6660" max="6667" width="8.81640625" style="446"/>
    <col min="6668" max="6668" width="11.81640625" style="446" customWidth="1"/>
    <col min="6669" max="6914" width="8.81640625" style="446"/>
    <col min="6915" max="6915" width="25.26953125" style="446" customWidth="1"/>
    <col min="6916" max="6923" width="8.81640625" style="446"/>
    <col min="6924" max="6924" width="11.81640625" style="446" customWidth="1"/>
    <col min="6925" max="7170" width="8.81640625" style="446"/>
    <col min="7171" max="7171" width="25.26953125" style="446" customWidth="1"/>
    <col min="7172" max="7179" width="8.81640625" style="446"/>
    <col min="7180" max="7180" width="11.81640625" style="446" customWidth="1"/>
    <col min="7181" max="7426" width="8.81640625" style="446"/>
    <col min="7427" max="7427" width="25.26953125" style="446" customWidth="1"/>
    <col min="7428" max="7435" width="8.81640625" style="446"/>
    <col min="7436" max="7436" width="11.81640625" style="446" customWidth="1"/>
    <col min="7437" max="7682" width="8.81640625" style="446"/>
    <col min="7683" max="7683" width="25.26953125" style="446" customWidth="1"/>
    <col min="7684" max="7691" width="8.81640625" style="446"/>
    <col min="7692" max="7692" width="11.81640625" style="446" customWidth="1"/>
    <col min="7693" max="7938" width="8.81640625" style="446"/>
    <col min="7939" max="7939" width="25.26953125" style="446" customWidth="1"/>
    <col min="7940" max="7947" width="8.81640625" style="446"/>
    <col min="7948" max="7948" width="11.81640625" style="446" customWidth="1"/>
    <col min="7949" max="8194" width="8.81640625" style="446"/>
    <col min="8195" max="8195" width="25.26953125" style="446" customWidth="1"/>
    <col min="8196" max="8203" width="8.81640625" style="446"/>
    <col min="8204" max="8204" width="11.81640625" style="446" customWidth="1"/>
    <col min="8205" max="8450" width="8.81640625" style="446"/>
    <col min="8451" max="8451" width="25.26953125" style="446" customWidth="1"/>
    <col min="8452" max="8459" width="8.81640625" style="446"/>
    <col min="8460" max="8460" width="11.81640625" style="446" customWidth="1"/>
    <col min="8461" max="8706" width="8.81640625" style="446"/>
    <col min="8707" max="8707" width="25.26953125" style="446" customWidth="1"/>
    <col min="8708" max="8715" width="8.81640625" style="446"/>
    <col min="8716" max="8716" width="11.81640625" style="446" customWidth="1"/>
    <col min="8717" max="8962" width="8.81640625" style="446"/>
    <col min="8963" max="8963" width="25.26953125" style="446" customWidth="1"/>
    <col min="8964" max="8971" width="8.81640625" style="446"/>
    <col min="8972" max="8972" width="11.81640625" style="446" customWidth="1"/>
    <col min="8973" max="9218" width="8.81640625" style="446"/>
    <col min="9219" max="9219" width="25.26953125" style="446" customWidth="1"/>
    <col min="9220" max="9227" width="8.81640625" style="446"/>
    <col min="9228" max="9228" width="11.81640625" style="446" customWidth="1"/>
    <col min="9229" max="9474" width="8.81640625" style="446"/>
    <col min="9475" max="9475" width="25.26953125" style="446" customWidth="1"/>
    <col min="9476" max="9483" width="8.81640625" style="446"/>
    <col min="9484" max="9484" width="11.81640625" style="446" customWidth="1"/>
    <col min="9485" max="9730" width="8.81640625" style="446"/>
    <col min="9731" max="9731" width="25.26953125" style="446" customWidth="1"/>
    <col min="9732" max="9739" width="8.81640625" style="446"/>
    <col min="9740" max="9740" width="11.81640625" style="446" customWidth="1"/>
    <col min="9741" max="9986" width="8.81640625" style="446"/>
    <col min="9987" max="9987" width="25.26953125" style="446" customWidth="1"/>
    <col min="9988" max="9995" width="8.81640625" style="446"/>
    <col min="9996" max="9996" width="11.81640625" style="446" customWidth="1"/>
    <col min="9997" max="10242" width="8.81640625" style="446"/>
    <col min="10243" max="10243" width="25.26953125" style="446" customWidth="1"/>
    <col min="10244" max="10251" width="8.81640625" style="446"/>
    <col min="10252" max="10252" width="11.81640625" style="446" customWidth="1"/>
    <col min="10253" max="10498" width="8.81640625" style="446"/>
    <col min="10499" max="10499" width="25.26953125" style="446" customWidth="1"/>
    <col min="10500" max="10507" width="8.81640625" style="446"/>
    <col min="10508" max="10508" width="11.81640625" style="446" customWidth="1"/>
    <col min="10509" max="10754" width="8.81640625" style="446"/>
    <col min="10755" max="10755" width="25.26953125" style="446" customWidth="1"/>
    <col min="10756" max="10763" width="8.81640625" style="446"/>
    <col min="10764" max="10764" width="11.81640625" style="446" customWidth="1"/>
    <col min="10765" max="11010" width="8.81640625" style="446"/>
    <col min="11011" max="11011" width="25.26953125" style="446" customWidth="1"/>
    <col min="11012" max="11019" width="8.81640625" style="446"/>
    <col min="11020" max="11020" width="11.81640625" style="446" customWidth="1"/>
    <col min="11021" max="11266" width="8.81640625" style="446"/>
    <col min="11267" max="11267" width="25.26953125" style="446" customWidth="1"/>
    <col min="11268" max="11275" width="8.81640625" style="446"/>
    <col min="11276" max="11276" width="11.81640625" style="446" customWidth="1"/>
    <col min="11277" max="11522" width="8.81640625" style="446"/>
    <col min="11523" max="11523" width="25.26953125" style="446" customWidth="1"/>
    <col min="11524" max="11531" width="8.81640625" style="446"/>
    <col min="11532" max="11532" width="11.81640625" style="446" customWidth="1"/>
    <col min="11533" max="11778" width="8.81640625" style="446"/>
    <col min="11779" max="11779" width="25.26953125" style="446" customWidth="1"/>
    <col min="11780" max="11787" width="8.81640625" style="446"/>
    <col min="11788" max="11788" width="11.81640625" style="446" customWidth="1"/>
    <col min="11789" max="12034" width="8.81640625" style="446"/>
    <col min="12035" max="12035" width="25.26953125" style="446" customWidth="1"/>
    <col min="12036" max="12043" width="8.81640625" style="446"/>
    <col min="12044" max="12044" width="11.81640625" style="446" customWidth="1"/>
    <col min="12045" max="12290" width="8.81640625" style="446"/>
    <col min="12291" max="12291" width="25.26953125" style="446" customWidth="1"/>
    <col min="12292" max="12299" width="8.81640625" style="446"/>
    <col min="12300" max="12300" width="11.81640625" style="446" customWidth="1"/>
    <col min="12301" max="12546" width="8.81640625" style="446"/>
    <col min="12547" max="12547" width="25.26953125" style="446" customWidth="1"/>
    <col min="12548" max="12555" width="8.81640625" style="446"/>
    <col min="12556" max="12556" width="11.81640625" style="446" customWidth="1"/>
    <col min="12557" max="12802" width="8.81640625" style="446"/>
    <col min="12803" max="12803" width="25.26953125" style="446" customWidth="1"/>
    <col min="12804" max="12811" width="8.81640625" style="446"/>
    <col min="12812" max="12812" width="11.81640625" style="446" customWidth="1"/>
    <col min="12813" max="13058" width="8.81640625" style="446"/>
    <col min="13059" max="13059" width="25.26953125" style="446" customWidth="1"/>
    <col min="13060" max="13067" width="8.81640625" style="446"/>
    <col min="13068" max="13068" width="11.81640625" style="446" customWidth="1"/>
    <col min="13069" max="13314" width="8.81640625" style="446"/>
    <col min="13315" max="13315" width="25.26953125" style="446" customWidth="1"/>
    <col min="13316" max="13323" width="8.81640625" style="446"/>
    <col min="13324" max="13324" width="11.81640625" style="446" customWidth="1"/>
    <col min="13325" max="13570" width="8.81640625" style="446"/>
    <col min="13571" max="13571" width="25.26953125" style="446" customWidth="1"/>
    <col min="13572" max="13579" width="8.81640625" style="446"/>
    <col min="13580" max="13580" width="11.81640625" style="446" customWidth="1"/>
    <col min="13581" max="13826" width="8.81640625" style="446"/>
    <col min="13827" max="13827" width="25.26953125" style="446" customWidth="1"/>
    <col min="13828" max="13835" width="8.81640625" style="446"/>
    <col min="13836" max="13836" width="11.81640625" style="446" customWidth="1"/>
    <col min="13837" max="14082" width="8.81640625" style="446"/>
    <col min="14083" max="14083" width="25.26953125" style="446" customWidth="1"/>
    <col min="14084" max="14091" width="8.81640625" style="446"/>
    <col min="14092" max="14092" width="11.81640625" style="446" customWidth="1"/>
    <col min="14093" max="14338" width="8.81640625" style="446"/>
    <col min="14339" max="14339" width="25.26953125" style="446" customWidth="1"/>
    <col min="14340" max="14347" width="8.81640625" style="446"/>
    <col min="14348" max="14348" width="11.81640625" style="446" customWidth="1"/>
    <col min="14349" max="14594" width="8.81640625" style="446"/>
    <col min="14595" max="14595" width="25.26953125" style="446" customWidth="1"/>
    <col min="14596" max="14603" width="8.81640625" style="446"/>
    <col min="14604" max="14604" width="11.81640625" style="446" customWidth="1"/>
    <col min="14605" max="14850" width="8.81640625" style="446"/>
    <col min="14851" max="14851" width="25.26953125" style="446" customWidth="1"/>
    <col min="14852" max="14859" width="8.81640625" style="446"/>
    <col min="14860" max="14860" width="11.81640625" style="446" customWidth="1"/>
    <col min="14861" max="15106" width="8.81640625" style="446"/>
    <col min="15107" max="15107" width="25.26953125" style="446" customWidth="1"/>
    <col min="15108" max="15115" width="8.81640625" style="446"/>
    <col min="15116" max="15116" width="11.81640625" style="446" customWidth="1"/>
    <col min="15117" max="15362" width="8.81640625" style="446"/>
    <col min="15363" max="15363" width="25.26953125" style="446" customWidth="1"/>
    <col min="15364" max="15371" width="8.81640625" style="446"/>
    <col min="15372" max="15372" width="11.81640625" style="446" customWidth="1"/>
    <col min="15373" max="15618" width="8.81640625" style="446"/>
    <col min="15619" max="15619" width="25.26953125" style="446" customWidth="1"/>
    <col min="15620" max="15627" width="8.81640625" style="446"/>
    <col min="15628" max="15628" width="11.81640625" style="446" customWidth="1"/>
    <col min="15629" max="15874" width="8.81640625" style="446"/>
    <col min="15875" max="15875" width="25.26953125" style="446" customWidth="1"/>
    <col min="15876" max="15883" width="8.81640625" style="446"/>
    <col min="15884" max="15884" width="11.81640625" style="446" customWidth="1"/>
    <col min="15885" max="16130" width="8.81640625" style="446"/>
    <col min="16131" max="16131" width="25.26953125" style="446" customWidth="1"/>
    <col min="16132" max="16139" width="8.81640625" style="446"/>
    <col min="16140" max="16140" width="11.81640625" style="446" customWidth="1"/>
    <col min="16141" max="16384" width="8.81640625" style="446"/>
  </cols>
  <sheetData>
    <row r="1" spans="1:16" ht="55.5" customHeight="1">
      <c r="A1" s="674" t="s">
        <v>387</v>
      </c>
      <c r="B1" s="674"/>
      <c r="C1" s="674"/>
      <c r="D1" s="674"/>
      <c r="E1" s="674"/>
      <c r="F1" s="674"/>
      <c r="G1" s="674"/>
      <c r="H1" s="674"/>
      <c r="I1" s="674"/>
      <c r="J1" s="674"/>
      <c r="K1" s="674"/>
      <c r="L1" s="674"/>
      <c r="M1" s="674"/>
      <c r="N1" s="674"/>
      <c r="O1" s="674"/>
      <c r="P1" s="674"/>
    </row>
    <row r="2" spans="1:16" ht="17.5">
      <c r="A2" s="710" t="s">
        <v>236</v>
      </c>
      <c r="B2" s="711"/>
      <c r="C2" s="712"/>
      <c r="D2" s="713">
        <f>'[1]Mix Description'!D2:P2</f>
        <v>0</v>
      </c>
      <c r="E2" s="714"/>
      <c r="F2" s="714"/>
      <c r="G2" s="714"/>
      <c r="H2" s="714"/>
      <c r="I2" s="714"/>
      <c r="J2" s="714"/>
      <c r="K2" s="714"/>
      <c r="L2" s="714"/>
      <c r="M2" s="714"/>
      <c r="N2" s="714"/>
      <c r="O2" s="714"/>
      <c r="P2" s="715"/>
    </row>
    <row r="3" spans="1:16" ht="15.5">
      <c r="A3" s="710" t="s">
        <v>237</v>
      </c>
      <c r="B3" s="716"/>
      <c r="C3" s="717"/>
      <c r="D3" s="713">
        <f>'[1]Mix Description'!D3:P3</f>
        <v>0</v>
      </c>
      <c r="E3" s="714"/>
      <c r="F3" s="714"/>
      <c r="G3" s="714"/>
      <c r="H3" s="714"/>
      <c r="I3" s="714"/>
      <c r="J3" s="714"/>
      <c r="K3" s="714"/>
      <c r="L3" s="714"/>
      <c r="M3" s="714"/>
      <c r="N3" s="714"/>
      <c r="O3" s="714"/>
      <c r="P3" s="715"/>
    </row>
    <row r="4" spans="1:16" ht="17.5">
      <c r="A4" s="710" t="s">
        <v>238</v>
      </c>
      <c r="B4" s="711"/>
      <c r="C4" s="712"/>
      <c r="D4" s="713">
        <f>'[1]Mix Description'!D4:P4</f>
        <v>0</v>
      </c>
      <c r="E4" s="714"/>
      <c r="F4" s="714"/>
      <c r="G4" s="714"/>
      <c r="H4" s="714"/>
      <c r="I4" s="714"/>
      <c r="J4" s="714"/>
      <c r="K4" s="714"/>
      <c r="L4" s="714"/>
      <c r="M4" s="714"/>
      <c r="N4" s="714"/>
      <c r="O4" s="714"/>
      <c r="P4" s="715"/>
    </row>
    <row r="5" spans="1:16" ht="17.5">
      <c r="A5" s="700" t="s">
        <v>341</v>
      </c>
      <c r="B5" s="701"/>
      <c r="C5" s="702"/>
      <c r="D5" s="703"/>
      <c r="E5" s="704"/>
      <c r="F5" s="704"/>
      <c r="G5" s="704"/>
      <c r="H5" s="704"/>
      <c r="I5" s="704"/>
      <c r="J5" s="704"/>
      <c r="K5" s="704"/>
      <c r="L5" s="704"/>
      <c r="M5" s="704"/>
      <c r="N5" s="704"/>
      <c r="O5" s="704"/>
      <c r="P5" s="705"/>
    </row>
    <row r="6" spans="1:16" ht="18" customHeight="1">
      <c r="A6" s="700" t="s">
        <v>342</v>
      </c>
      <c r="B6" s="701"/>
      <c r="C6" s="702"/>
      <c r="D6" s="689"/>
      <c r="E6" s="690"/>
      <c r="F6" s="690"/>
      <c r="G6" s="690"/>
      <c r="H6" s="690"/>
      <c r="I6" s="690"/>
      <c r="J6" s="690"/>
      <c r="K6" s="690"/>
      <c r="L6" s="690"/>
      <c r="M6" s="690"/>
      <c r="N6" s="690"/>
      <c r="O6" s="690"/>
      <c r="P6" s="691"/>
    </row>
    <row r="7" spans="1:16" ht="18" customHeight="1">
      <c r="A7" s="700" t="s">
        <v>343</v>
      </c>
      <c r="B7" s="701"/>
      <c r="C7" s="702"/>
      <c r="D7" s="689"/>
      <c r="E7" s="690"/>
      <c r="F7" s="690"/>
      <c r="G7" s="690"/>
      <c r="H7" s="690"/>
      <c r="I7" s="690"/>
      <c r="J7" s="690"/>
      <c r="K7" s="690"/>
      <c r="L7" s="690"/>
      <c r="M7" s="690"/>
      <c r="N7" s="690"/>
      <c r="O7" s="690"/>
      <c r="P7" s="691"/>
    </row>
    <row r="8" spans="1:16" ht="17.5">
      <c r="A8" s="700" t="s">
        <v>241</v>
      </c>
      <c r="B8" s="701"/>
      <c r="C8" s="702"/>
      <c r="D8" s="689"/>
      <c r="E8" s="690"/>
      <c r="F8" s="690"/>
      <c r="G8" s="690"/>
      <c r="H8" s="690"/>
      <c r="I8" s="690"/>
      <c r="J8" s="690"/>
      <c r="K8" s="690"/>
      <c r="L8" s="690"/>
      <c r="M8" s="690"/>
      <c r="N8" s="690"/>
      <c r="O8" s="690"/>
      <c r="P8" s="691"/>
    </row>
    <row r="9" spans="1:16" ht="17.5">
      <c r="A9" s="700" t="s">
        <v>242</v>
      </c>
      <c r="B9" s="701"/>
      <c r="C9" s="702"/>
      <c r="D9" s="706"/>
      <c r="E9" s="690"/>
      <c r="F9" s="690"/>
      <c r="G9" s="690"/>
      <c r="H9" s="690"/>
      <c r="I9" s="690"/>
      <c r="J9" s="690"/>
      <c r="K9" s="690"/>
      <c r="L9" s="690"/>
      <c r="M9" s="690"/>
      <c r="N9" s="690"/>
      <c r="O9" s="690"/>
      <c r="P9" s="691"/>
    </row>
    <row r="10" spans="1:16" ht="17.25" customHeight="1">
      <c r="A10" s="707" t="s">
        <v>344</v>
      </c>
      <c r="B10" s="708"/>
      <c r="C10" s="708"/>
      <c r="D10" s="708"/>
      <c r="E10" s="708"/>
      <c r="F10" s="708"/>
      <c r="G10" s="708"/>
      <c r="H10" s="708"/>
      <c r="I10" s="708"/>
      <c r="J10" s="708"/>
      <c r="K10" s="708"/>
      <c r="L10" s="708"/>
      <c r="M10" s="708"/>
      <c r="N10" s="708"/>
      <c r="O10" s="708"/>
      <c r="P10" s="709"/>
    </row>
    <row r="11" spans="1:16" ht="34.5" customHeight="1">
      <c r="A11" s="697" t="s">
        <v>345</v>
      </c>
      <c r="B11" s="698"/>
      <c r="C11" s="699"/>
      <c r="D11" s="689"/>
      <c r="E11" s="690"/>
      <c r="F11" s="690"/>
      <c r="G11" s="690"/>
      <c r="H11" s="690"/>
      <c r="I11" s="690"/>
      <c r="J11" s="690"/>
      <c r="K11" s="690"/>
      <c r="L11" s="690"/>
      <c r="M11" s="690"/>
      <c r="N11" s="690"/>
      <c r="O11" s="690"/>
      <c r="P11" s="691"/>
    </row>
    <row r="12" spans="1:16" ht="37.5" customHeight="1">
      <c r="A12" s="683" t="s">
        <v>346</v>
      </c>
      <c r="B12" s="684"/>
      <c r="C12" s="685"/>
      <c r="D12" s="686"/>
      <c r="E12" s="687"/>
      <c r="F12" s="687"/>
      <c r="G12" s="687"/>
      <c r="H12" s="687"/>
      <c r="I12" s="687"/>
      <c r="J12" s="687"/>
      <c r="K12" s="687"/>
      <c r="L12" s="687"/>
      <c r="M12" s="687"/>
      <c r="N12" s="687"/>
      <c r="O12" s="687"/>
      <c r="P12" s="688"/>
    </row>
    <row r="13" spans="1:16" ht="36.75" customHeight="1">
      <c r="A13" s="683" t="s">
        <v>347</v>
      </c>
      <c r="B13" s="684"/>
      <c r="C13" s="685"/>
      <c r="D13" s="689"/>
      <c r="E13" s="690"/>
      <c r="F13" s="690"/>
      <c r="G13" s="690"/>
      <c r="H13" s="690"/>
      <c r="I13" s="690"/>
      <c r="J13" s="690"/>
      <c r="K13" s="690"/>
      <c r="L13" s="690"/>
      <c r="M13" s="690"/>
      <c r="N13" s="690"/>
      <c r="O13" s="690"/>
      <c r="P13" s="691"/>
    </row>
    <row r="14" spans="1:16" ht="38.25" customHeight="1">
      <c r="A14" s="683" t="s">
        <v>348</v>
      </c>
      <c r="B14" s="684"/>
      <c r="C14" s="685"/>
      <c r="D14" s="692" t="s">
        <v>349</v>
      </c>
      <c r="E14" s="693"/>
      <c r="F14" s="694"/>
      <c r="G14" s="695"/>
      <c r="H14" s="695"/>
      <c r="I14" s="695"/>
      <c r="J14" s="696"/>
      <c r="K14" s="692" t="s">
        <v>350</v>
      </c>
      <c r="L14" s="693"/>
      <c r="M14" s="694"/>
      <c r="N14" s="695"/>
      <c r="O14" s="695"/>
      <c r="P14" s="696"/>
    </row>
    <row r="15" spans="1:16" ht="21" customHeight="1">
      <c r="A15" s="680" t="s">
        <v>351</v>
      </c>
      <c r="B15" s="681"/>
      <c r="C15" s="681"/>
      <c r="D15" s="681"/>
      <c r="E15" s="681"/>
      <c r="F15" s="681"/>
      <c r="G15" s="681"/>
      <c r="H15" s="681"/>
      <c r="I15" s="681"/>
      <c r="J15" s="681"/>
      <c r="K15" s="681"/>
      <c r="L15" s="681"/>
      <c r="M15" s="681"/>
      <c r="N15" s="681"/>
      <c r="O15" s="681"/>
      <c r="P15" s="682"/>
    </row>
    <row r="16" spans="1:16">
      <c r="A16" s="447"/>
      <c r="B16" s="447"/>
      <c r="C16" s="447"/>
      <c r="D16" s="447"/>
      <c r="E16" s="447"/>
      <c r="F16" s="447"/>
      <c r="G16" s="447"/>
      <c r="H16" s="447"/>
      <c r="I16" s="447"/>
      <c r="J16" s="447"/>
      <c r="K16" s="447"/>
      <c r="L16" s="447"/>
      <c r="M16" s="447"/>
      <c r="N16" s="447"/>
      <c r="O16" s="447"/>
      <c r="P16" s="447"/>
    </row>
    <row r="17" spans="1:16">
      <c r="A17" s="447"/>
      <c r="B17" s="447"/>
      <c r="C17" s="447"/>
      <c r="D17" s="447"/>
      <c r="E17" s="447"/>
      <c r="F17" s="447"/>
      <c r="G17" s="447"/>
      <c r="H17" s="447"/>
      <c r="I17" s="447"/>
      <c r="J17" s="447"/>
      <c r="K17" s="447"/>
      <c r="L17" s="447"/>
      <c r="M17" s="447"/>
      <c r="N17" s="447"/>
      <c r="O17" s="447"/>
      <c r="P17" s="447"/>
    </row>
    <row r="18" spans="1:16">
      <c r="A18" s="447"/>
      <c r="B18" s="447"/>
      <c r="C18" s="447"/>
      <c r="D18" s="447"/>
      <c r="E18" s="447"/>
      <c r="F18" s="447"/>
      <c r="G18" s="447"/>
      <c r="H18" s="447"/>
      <c r="I18" s="447"/>
      <c r="J18" s="447"/>
      <c r="K18" s="447"/>
      <c r="L18" s="447"/>
      <c r="M18" s="447"/>
      <c r="N18" s="447"/>
      <c r="O18" s="447"/>
      <c r="P18" s="447"/>
    </row>
    <row r="19" spans="1:16">
      <c r="A19" s="447"/>
      <c r="B19" s="447"/>
      <c r="C19" s="447"/>
      <c r="D19" s="447"/>
      <c r="E19" s="447"/>
      <c r="F19" s="447"/>
      <c r="G19" s="447"/>
      <c r="H19" s="447"/>
      <c r="I19" s="447"/>
      <c r="J19" s="447"/>
      <c r="K19" s="447"/>
      <c r="L19" s="447"/>
      <c r="M19" s="447"/>
      <c r="N19" s="447"/>
      <c r="O19" s="447"/>
      <c r="P19" s="447"/>
    </row>
    <row r="20" spans="1:16">
      <c r="A20" s="447"/>
      <c r="B20" s="447"/>
      <c r="C20" s="447"/>
      <c r="D20" s="447"/>
      <c r="E20" s="447"/>
      <c r="F20" s="447"/>
      <c r="G20" s="447"/>
      <c r="H20" s="447"/>
      <c r="I20" s="447"/>
      <c r="J20" s="447"/>
      <c r="K20" s="447"/>
      <c r="L20" s="447"/>
      <c r="M20" s="447"/>
      <c r="N20" s="447"/>
      <c r="O20" s="447"/>
      <c r="P20" s="447"/>
    </row>
    <row r="21" spans="1:16">
      <c r="A21" s="447"/>
      <c r="B21" s="447"/>
      <c r="C21" s="447"/>
      <c r="D21" s="447"/>
      <c r="E21" s="447"/>
      <c r="F21" s="447"/>
      <c r="G21" s="447"/>
      <c r="H21" s="447"/>
      <c r="I21" s="447"/>
      <c r="J21" s="447"/>
      <c r="K21" s="447"/>
      <c r="L21" s="447"/>
      <c r="M21" s="447"/>
      <c r="N21" s="447"/>
      <c r="O21" s="447"/>
      <c r="P21" s="447"/>
    </row>
    <row r="22" spans="1:16">
      <c r="A22" s="447"/>
      <c r="B22" s="447"/>
      <c r="C22" s="447"/>
      <c r="D22" s="447"/>
      <c r="E22" s="447"/>
      <c r="F22" s="447"/>
      <c r="G22" s="447"/>
      <c r="H22" s="447"/>
      <c r="I22" s="447"/>
      <c r="J22" s="447"/>
      <c r="K22" s="447"/>
      <c r="L22" s="447"/>
      <c r="M22" s="447"/>
      <c r="N22" s="447"/>
      <c r="O22" s="447"/>
      <c r="P22" s="447"/>
    </row>
    <row r="23" spans="1:16">
      <c r="A23" s="447"/>
      <c r="B23" s="447"/>
      <c r="C23" s="447"/>
      <c r="D23" s="447"/>
      <c r="E23" s="447"/>
      <c r="F23" s="447"/>
      <c r="G23" s="447"/>
      <c r="H23" s="447"/>
      <c r="I23" s="447"/>
      <c r="J23" s="447"/>
      <c r="K23" s="447"/>
      <c r="L23" s="447"/>
      <c r="M23" s="447"/>
      <c r="N23" s="447"/>
      <c r="O23" s="447"/>
      <c r="P23" s="447"/>
    </row>
    <row r="24" spans="1:16">
      <c r="A24" s="447"/>
      <c r="B24" s="447"/>
      <c r="C24" s="447"/>
      <c r="D24" s="447"/>
      <c r="E24" s="447"/>
      <c r="F24" s="447"/>
      <c r="G24" s="447"/>
      <c r="H24" s="447"/>
      <c r="I24" s="447"/>
      <c r="J24" s="447"/>
      <c r="K24" s="447"/>
      <c r="L24" s="447"/>
      <c r="M24" s="447"/>
      <c r="N24" s="447"/>
      <c r="O24" s="447"/>
      <c r="P24" s="447"/>
    </row>
    <row r="25" spans="1:16">
      <c r="A25" s="447"/>
      <c r="B25" s="447"/>
      <c r="C25" s="447"/>
      <c r="D25" s="447"/>
      <c r="E25" s="447"/>
      <c r="F25" s="447"/>
      <c r="G25" s="447"/>
      <c r="H25" s="447"/>
      <c r="I25" s="447"/>
      <c r="J25" s="447"/>
      <c r="K25" s="447"/>
      <c r="L25" s="447"/>
      <c r="M25" s="447"/>
      <c r="N25" s="447"/>
      <c r="O25" s="447"/>
      <c r="P25" s="447"/>
    </row>
    <row r="26" spans="1:16">
      <c r="A26" s="447"/>
      <c r="B26" s="447"/>
      <c r="C26" s="447"/>
      <c r="D26" s="447"/>
      <c r="E26" s="447"/>
      <c r="F26" s="447"/>
      <c r="G26" s="447"/>
      <c r="H26" s="447"/>
      <c r="I26" s="447"/>
      <c r="J26" s="447"/>
      <c r="K26" s="447"/>
      <c r="L26" s="447"/>
      <c r="M26" s="447"/>
      <c r="N26" s="447"/>
      <c r="O26" s="447"/>
      <c r="P26" s="447"/>
    </row>
  </sheetData>
  <sheetProtection algorithmName="SHA-512" hashValue="mDi62pX9DZ2t47kVrAwwvrKZjo1BGCBh6k0cWajVUV2oypCjdcJ/NnNSuxEHvH7uipci+QhA/i90/++8Cd9wvA==" saltValue="D29lmevFf5JMjvcY+8msJQ==" spinCount="100000" sheet="1" objects="1" scenarios="1"/>
  <mergeCells count="30">
    <mergeCell ref="A4:C4"/>
    <mergeCell ref="D4:P4"/>
    <mergeCell ref="A1:P1"/>
    <mergeCell ref="A2:C2"/>
    <mergeCell ref="D2:P2"/>
    <mergeCell ref="A3:C3"/>
    <mergeCell ref="D3:P3"/>
    <mergeCell ref="A11:C11"/>
    <mergeCell ref="D11:P11"/>
    <mergeCell ref="A5:C5"/>
    <mergeCell ref="D5:P5"/>
    <mergeCell ref="A6:C6"/>
    <mergeCell ref="D6:P6"/>
    <mergeCell ref="A7:C7"/>
    <mergeCell ref="D7:P7"/>
    <mergeCell ref="A8:C8"/>
    <mergeCell ref="D8:P8"/>
    <mergeCell ref="A9:C9"/>
    <mergeCell ref="D9:P9"/>
    <mergeCell ref="A10:P10"/>
    <mergeCell ref="A15:P15"/>
    <mergeCell ref="A12:C12"/>
    <mergeCell ref="D12:P12"/>
    <mergeCell ref="A13:C13"/>
    <mergeCell ref="D13:P13"/>
    <mergeCell ref="A14:C14"/>
    <mergeCell ref="D14:E14"/>
    <mergeCell ref="F14:J14"/>
    <mergeCell ref="K14:L14"/>
    <mergeCell ref="M14:P14"/>
  </mergeCells>
  <pageMargins left="0.7" right="0.7" top="1" bottom="0.75" header="0.3" footer="0.3"/>
  <pageSetup scale="75" orientation="landscape" horizontalDpi="4294967295" verticalDpi="4294967295" r:id="rId1"/>
  <headerFooter>
    <oddFooter xml:space="preserve">&amp;LSubmit to Project Manager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S35"/>
  <sheetViews>
    <sheetView topLeftCell="I19" zoomScaleNormal="100" workbookViewId="0">
      <selection activeCell="O38" sqref="O38"/>
    </sheetView>
  </sheetViews>
  <sheetFormatPr defaultRowHeight="12.5"/>
  <cols>
    <col min="1" max="8" width="0" style="446" hidden="1" customWidth="1"/>
    <col min="9" max="9" width="2" style="446" customWidth="1"/>
    <col min="10" max="10" width="31.453125" style="446" customWidth="1"/>
    <col min="11" max="11" width="8" style="530" customWidth="1"/>
    <col min="12" max="12" width="8.26953125" style="446" customWidth="1"/>
    <col min="13" max="13" width="8" style="446" customWidth="1"/>
    <col min="14" max="14" width="7.26953125" style="446" customWidth="1"/>
    <col min="15" max="15" width="7.1796875" style="446" customWidth="1"/>
    <col min="16" max="16" width="8.26953125" style="446" customWidth="1"/>
    <col min="17" max="17" width="6.7265625" style="446" customWidth="1"/>
    <col min="18" max="18" width="7" style="446" customWidth="1"/>
    <col min="19" max="256" width="8.81640625" style="446"/>
    <col min="257" max="264" width="0" style="446" hidden="1" customWidth="1"/>
    <col min="265" max="265" width="2" style="446" customWidth="1"/>
    <col min="266" max="266" width="31.453125" style="446" customWidth="1"/>
    <col min="267" max="267" width="8" style="446" customWidth="1"/>
    <col min="268" max="268" width="8.26953125" style="446" customWidth="1"/>
    <col min="269" max="269" width="8" style="446" customWidth="1"/>
    <col min="270" max="270" width="7.26953125" style="446" customWidth="1"/>
    <col min="271" max="271" width="7.1796875" style="446" customWidth="1"/>
    <col min="272" max="272" width="8.26953125" style="446" customWidth="1"/>
    <col min="273" max="273" width="6.7265625" style="446" customWidth="1"/>
    <col min="274" max="274" width="7" style="446" customWidth="1"/>
    <col min="275" max="512" width="8.81640625" style="446"/>
    <col min="513" max="520" width="0" style="446" hidden="1" customWidth="1"/>
    <col min="521" max="521" width="2" style="446" customWidth="1"/>
    <col min="522" max="522" width="31.453125" style="446" customWidth="1"/>
    <col min="523" max="523" width="8" style="446" customWidth="1"/>
    <col min="524" max="524" width="8.26953125" style="446" customWidth="1"/>
    <col min="525" max="525" width="8" style="446" customWidth="1"/>
    <col min="526" max="526" width="7.26953125" style="446" customWidth="1"/>
    <col min="527" max="527" width="7.1796875" style="446" customWidth="1"/>
    <col min="528" max="528" width="8.26953125" style="446" customWidth="1"/>
    <col min="529" max="529" width="6.7265625" style="446" customWidth="1"/>
    <col min="530" max="530" width="7" style="446" customWidth="1"/>
    <col min="531" max="768" width="8.81640625" style="446"/>
    <col min="769" max="776" width="0" style="446" hidden="1" customWidth="1"/>
    <col min="777" max="777" width="2" style="446" customWidth="1"/>
    <col min="778" max="778" width="31.453125" style="446" customWidth="1"/>
    <col min="779" max="779" width="8" style="446" customWidth="1"/>
    <col min="780" max="780" width="8.26953125" style="446" customWidth="1"/>
    <col min="781" max="781" width="8" style="446" customWidth="1"/>
    <col min="782" max="782" width="7.26953125" style="446" customWidth="1"/>
    <col min="783" max="783" width="7.1796875" style="446" customWidth="1"/>
    <col min="784" max="784" width="8.26953125" style="446" customWidth="1"/>
    <col min="785" max="785" width="6.7265625" style="446" customWidth="1"/>
    <col min="786" max="786" width="7" style="446" customWidth="1"/>
    <col min="787" max="1024" width="8.81640625" style="446"/>
    <col min="1025" max="1032" width="0" style="446" hidden="1" customWidth="1"/>
    <col min="1033" max="1033" width="2" style="446" customWidth="1"/>
    <col min="1034" max="1034" width="31.453125" style="446" customWidth="1"/>
    <col min="1035" max="1035" width="8" style="446" customWidth="1"/>
    <col min="1036" max="1036" width="8.26953125" style="446" customWidth="1"/>
    <col min="1037" max="1037" width="8" style="446" customWidth="1"/>
    <col min="1038" max="1038" width="7.26953125" style="446" customWidth="1"/>
    <col min="1039" max="1039" width="7.1796875" style="446" customWidth="1"/>
    <col min="1040" max="1040" width="8.26953125" style="446" customWidth="1"/>
    <col min="1041" max="1041" width="6.7265625" style="446" customWidth="1"/>
    <col min="1042" max="1042" width="7" style="446" customWidth="1"/>
    <col min="1043" max="1280" width="8.81640625" style="446"/>
    <col min="1281" max="1288" width="0" style="446" hidden="1" customWidth="1"/>
    <col min="1289" max="1289" width="2" style="446" customWidth="1"/>
    <col min="1290" max="1290" width="31.453125" style="446" customWidth="1"/>
    <col min="1291" max="1291" width="8" style="446" customWidth="1"/>
    <col min="1292" max="1292" width="8.26953125" style="446" customWidth="1"/>
    <col min="1293" max="1293" width="8" style="446" customWidth="1"/>
    <col min="1294" max="1294" width="7.26953125" style="446" customWidth="1"/>
    <col min="1295" max="1295" width="7.1796875" style="446" customWidth="1"/>
    <col min="1296" max="1296" width="8.26953125" style="446" customWidth="1"/>
    <col min="1297" max="1297" width="6.7265625" style="446" customWidth="1"/>
    <col min="1298" max="1298" width="7" style="446" customWidth="1"/>
    <col min="1299" max="1536" width="8.81640625" style="446"/>
    <col min="1537" max="1544" width="0" style="446" hidden="1" customWidth="1"/>
    <col min="1545" max="1545" width="2" style="446" customWidth="1"/>
    <col min="1546" max="1546" width="31.453125" style="446" customWidth="1"/>
    <col min="1547" max="1547" width="8" style="446" customWidth="1"/>
    <col min="1548" max="1548" width="8.26953125" style="446" customWidth="1"/>
    <col min="1549" max="1549" width="8" style="446" customWidth="1"/>
    <col min="1550" max="1550" width="7.26953125" style="446" customWidth="1"/>
    <col min="1551" max="1551" width="7.1796875" style="446" customWidth="1"/>
    <col min="1552" max="1552" width="8.26953125" style="446" customWidth="1"/>
    <col min="1553" max="1553" width="6.7265625" style="446" customWidth="1"/>
    <col min="1554" max="1554" width="7" style="446" customWidth="1"/>
    <col min="1555" max="1792" width="8.81640625" style="446"/>
    <col min="1793" max="1800" width="0" style="446" hidden="1" customWidth="1"/>
    <col min="1801" max="1801" width="2" style="446" customWidth="1"/>
    <col min="1802" max="1802" width="31.453125" style="446" customWidth="1"/>
    <col min="1803" max="1803" width="8" style="446" customWidth="1"/>
    <col min="1804" max="1804" width="8.26953125" style="446" customWidth="1"/>
    <col min="1805" max="1805" width="8" style="446" customWidth="1"/>
    <col min="1806" max="1806" width="7.26953125" style="446" customWidth="1"/>
    <col min="1807" max="1807" width="7.1796875" style="446" customWidth="1"/>
    <col min="1808" max="1808" width="8.26953125" style="446" customWidth="1"/>
    <col min="1809" max="1809" width="6.7265625" style="446" customWidth="1"/>
    <col min="1810" max="1810" width="7" style="446" customWidth="1"/>
    <col min="1811" max="2048" width="8.81640625" style="446"/>
    <col min="2049" max="2056" width="0" style="446" hidden="1" customWidth="1"/>
    <col min="2057" max="2057" width="2" style="446" customWidth="1"/>
    <col min="2058" max="2058" width="31.453125" style="446" customWidth="1"/>
    <col min="2059" max="2059" width="8" style="446" customWidth="1"/>
    <col min="2060" max="2060" width="8.26953125" style="446" customWidth="1"/>
    <col min="2061" max="2061" width="8" style="446" customWidth="1"/>
    <col min="2062" max="2062" width="7.26953125" style="446" customWidth="1"/>
    <col min="2063" max="2063" width="7.1796875" style="446" customWidth="1"/>
    <col min="2064" max="2064" width="8.26953125" style="446" customWidth="1"/>
    <col min="2065" max="2065" width="6.7265625" style="446" customWidth="1"/>
    <col min="2066" max="2066" width="7" style="446" customWidth="1"/>
    <col min="2067" max="2304" width="8.81640625" style="446"/>
    <col min="2305" max="2312" width="0" style="446" hidden="1" customWidth="1"/>
    <col min="2313" max="2313" width="2" style="446" customWidth="1"/>
    <col min="2314" max="2314" width="31.453125" style="446" customWidth="1"/>
    <col min="2315" max="2315" width="8" style="446" customWidth="1"/>
    <col min="2316" max="2316" width="8.26953125" style="446" customWidth="1"/>
    <col min="2317" max="2317" width="8" style="446" customWidth="1"/>
    <col min="2318" max="2318" width="7.26953125" style="446" customWidth="1"/>
    <col min="2319" max="2319" width="7.1796875" style="446" customWidth="1"/>
    <col min="2320" max="2320" width="8.26953125" style="446" customWidth="1"/>
    <col min="2321" max="2321" width="6.7265625" style="446" customWidth="1"/>
    <col min="2322" max="2322" width="7" style="446" customWidth="1"/>
    <col min="2323" max="2560" width="8.81640625" style="446"/>
    <col min="2561" max="2568" width="0" style="446" hidden="1" customWidth="1"/>
    <col min="2569" max="2569" width="2" style="446" customWidth="1"/>
    <col min="2570" max="2570" width="31.453125" style="446" customWidth="1"/>
    <col min="2571" max="2571" width="8" style="446" customWidth="1"/>
    <col min="2572" max="2572" width="8.26953125" style="446" customWidth="1"/>
    <col min="2573" max="2573" width="8" style="446" customWidth="1"/>
    <col min="2574" max="2574" width="7.26953125" style="446" customWidth="1"/>
    <col min="2575" max="2575" width="7.1796875" style="446" customWidth="1"/>
    <col min="2576" max="2576" width="8.26953125" style="446" customWidth="1"/>
    <col min="2577" max="2577" width="6.7265625" style="446" customWidth="1"/>
    <col min="2578" max="2578" width="7" style="446" customWidth="1"/>
    <col min="2579" max="2816" width="8.81640625" style="446"/>
    <col min="2817" max="2824" width="0" style="446" hidden="1" customWidth="1"/>
    <col min="2825" max="2825" width="2" style="446" customWidth="1"/>
    <col min="2826" max="2826" width="31.453125" style="446" customWidth="1"/>
    <col min="2827" max="2827" width="8" style="446" customWidth="1"/>
    <col min="2828" max="2828" width="8.26953125" style="446" customWidth="1"/>
    <col min="2829" max="2829" width="8" style="446" customWidth="1"/>
    <col min="2830" max="2830" width="7.26953125" style="446" customWidth="1"/>
    <col min="2831" max="2831" width="7.1796875" style="446" customWidth="1"/>
    <col min="2832" max="2832" width="8.26953125" style="446" customWidth="1"/>
    <col min="2833" max="2833" width="6.7265625" style="446" customWidth="1"/>
    <col min="2834" max="2834" width="7" style="446" customWidth="1"/>
    <col min="2835" max="3072" width="8.81640625" style="446"/>
    <col min="3073" max="3080" width="0" style="446" hidden="1" customWidth="1"/>
    <col min="3081" max="3081" width="2" style="446" customWidth="1"/>
    <col min="3082" max="3082" width="31.453125" style="446" customWidth="1"/>
    <col min="3083" max="3083" width="8" style="446" customWidth="1"/>
    <col min="3084" max="3084" width="8.26953125" style="446" customWidth="1"/>
    <col min="3085" max="3085" width="8" style="446" customWidth="1"/>
    <col min="3086" max="3086" width="7.26953125" style="446" customWidth="1"/>
    <col min="3087" max="3087" width="7.1796875" style="446" customWidth="1"/>
    <col min="3088" max="3088" width="8.26953125" style="446" customWidth="1"/>
    <col min="3089" max="3089" width="6.7265625" style="446" customWidth="1"/>
    <col min="3090" max="3090" width="7" style="446" customWidth="1"/>
    <col min="3091" max="3328" width="8.81640625" style="446"/>
    <col min="3329" max="3336" width="0" style="446" hidden="1" customWidth="1"/>
    <col min="3337" max="3337" width="2" style="446" customWidth="1"/>
    <col min="3338" max="3338" width="31.453125" style="446" customWidth="1"/>
    <col min="3339" max="3339" width="8" style="446" customWidth="1"/>
    <col min="3340" max="3340" width="8.26953125" style="446" customWidth="1"/>
    <col min="3341" max="3341" width="8" style="446" customWidth="1"/>
    <col min="3342" max="3342" width="7.26953125" style="446" customWidth="1"/>
    <col min="3343" max="3343" width="7.1796875" style="446" customWidth="1"/>
    <col min="3344" max="3344" width="8.26953125" style="446" customWidth="1"/>
    <col min="3345" max="3345" width="6.7265625" style="446" customWidth="1"/>
    <col min="3346" max="3346" width="7" style="446" customWidth="1"/>
    <col min="3347" max="3584" width="8.81640625" style="446"/>
    <col min="3585" max="3592" width="0" style="446" hidden="1" customWidth="1"/>
    <col min="3593" max="3593" width="2" style="446" customWidth="1"/>
    <col min="3594" max="3594" width="31.453125" style="446" customWidth="1"/>
    <col min="3595" max="3595" width="8" style="446" customWidth="1"/>
    <col min="3596" max="3596" width="8.26953125" style="446" customWidth="1"/>
    <col min="3597" max="3597" width="8" style="446" customWidth="1"/>
    <col min="3598" max="3598" width="7.26953125" style="446" customWidth="1"/>
    <col min="3599" max="3599" width="7.1796875" style="446" customWidth="1"/>
    <col min="3600" max="3600" width="8.26953125" style="446" customWidth="1"/>
    <col min="3601" max="3601" width="6.7265625" style="446" customWidth="1"/>
    <col min="3602" max="3602" width="7" style="446" customWidth="1"/>
    <col min="3603" max="3840" width="8.81640625" style="446"/>
    <col min="3841" max="3848" width="0" style="446" hidden="1" customWidth="1"/>
    <col min="3849" max="3849" width="2" style="446" customWidth="1"/>
    <col min="3850" max="3850" width="31.453125" style="446" customWidth="1"/>
    <col min="3851" max="3851" width="8" style="446" customWidth="1"/>
    <col min="3852" max="3852" width="8.26953125" style="446" customWidth="1"/>
    <col min="3853" max="3853" width="8" style="446" customWidth="1"/>
    <col min="3854" max="3854" width="7.26953125" style="446" customWidth="1"/>
    <col min="3855" max="3855" width="7.1796875" style="446" customWidth="1"/>
    <col min="3856" max="3856" width="8.26953125" style="446" customWidth="1"/>
    <col min="3857" max="3857" width="6.7265625" style="446" customWidth="1"/>
    <col min="3858" max="3858" width="7" style="446" customWidth="1"/>
    <col min="3859" max="4096" width="8.81640625" style="446"/>
    <col min="4097" max="4104" width="0" style="446" hidden="1" customWidth="1"/>
    <col min="4105" max="4105" width="2" style="446" customWidth="1"/>
    <col min="4106" max="4106" width="31.453125" style="446" customWidth="1"/>
    <col min="4107" max="4107" width="8" style="446" customWidth="1"/>
    <col min="4108" max="4108" width="8.26953125" style="446" customWidth="1"/>
    <col min="4109" max="4109" width="8" style="446" customWidth="1"/>
    <col min="4110" max="4110" width="7.26953125" style="446" customWidth="1"/>
    <col min="4111" max="4111" width="7.1796875" style="446" customWidth="1"/>
    <col min="4112" max="4112" width="8.26953125" style="446" customWidth="1"/>
    <col min="4113" max="4113" width="6.7265625" style="446" customWidth="1"/>
    <col min="4114" max="4114" width="7" style="446" customWidth="1"/>
    <col min="4115" max="4352" width="8.81640625" style="446"/>
    <col min="4353" max="4360" width="0" style="446" hidden="1" customWidth="1"/>
    <col min="4361" max="4361" width="2" style="446" customWidth="1"/>
    <col min="4362" max="4362" width="31.453125" style="446" customWidth="1"/>
    <col min="4363" max="4363" width="8" style="446" customWidth="1"/>
    <col min="4364" max="4364" width="8.26953125" style="446" customWidth="1"/>
    <col min="4365" max="4365" width="8" style="446" customWidth="1"/>
    <col min="4366" max="4366" width="7.26953125" style="446" customWidth="1"/>
    <col min="4367" max="4367" width="7.1796875" style="446" customWidth="1"/>
    <col min="4368" max="4368" width="8.26953125" style="446" customWidth="1"/>
    <col min="4369" max="4369" width="6.7265625" style="446" customWidth="1"/>
    <col min="4370" max="4370" width="7" style="446" customWidth="1"/>
    <col min="4371" max="4608" width="8.81640625" style="446"/>
    <col min="4609" max="4616" width="0" style="446" hidden="1" customWidth="1"/>
    <col min="4617" max="4617" width="2" style="446" customWidth="1"/>
    <col min="4618" max="4618" width="31.453125" style="446" customWidth="1"/>
    <col min="4619" max="4619" width="8" style="446" customWidth="1"/>
    <col min="4620" max="4620" width="8.26953125" style="446" customWidth="1"/>
    <col min="4621" max="4621" width="8" style="446" customWidth="1"/>
    <col min="4622" max="4622" width="7.26953125" style="446" customWidth="1"/>
    <col min="4623" max="4623" width="7.1796875" style="446" customWidth="1"/>
    <col min="4624" max="4624" width="8.26953125" style="446" customWidth="1"/>
    <col min="4625" max="4625" width="6.7265625" style="446" customWidth="1"/>
    <col min="4626" max="4626" width="7" style="446" customWidth="1"/>
    <col min="4627" max="4864" width="8.81640625" style="446"/>
    <col min="4865" max="4872" width="0" style="446" hidden="1" customWidth="1"/>
    <col min="4873" max="4873" width="2" style="446" customWidth="1"/>
    <col min="4874" max="4874" width="31.453125" style="446" customWidth="1"/>
    <col min="4875" max="4875" width="8" style="446" customWidth="1"/>
    <col min="4876" max="4876" width="8.26953125" style="446" customWidth="1"/>
    <col min="4877" max="4877" width="8" style="446" customWidth="1"/>
    <col min="4878" max="4878" width="7.26953125" style="446" customWidth="1"/>
    <col min="4879" max="4879" width="7.1796875" style="446" customWidth="1"/>
    <col min="4880" max="4880" width="8.26953125" style="446" customWidth="1"/>
    <col min="4881" max="4881" width="6.7265625" style="446" customWidth="1"/>
    <col min="4882" max="4882" width="7" style="446" customWidth="1"/>
    <col min="4883" max="5120" width="8.81640625" style="446"/>
    <col min="5121" max="5128" width="0" style="446" hidden="1" customWidth="1"/>
    <col min="5129" max="5129" width="2" style="446" customWidth="1"/>
    <col min="5130" max="5130" width="31.453125" style="446" customWidth="1"/>
    <col min="5131" max="5131" width="8" style="446" customWidth="1"/>
    <col min="5132" max="5132" width="8.26953125" style="446" customWidth="1"/>
    <col min="5133" max="5133" width="8" style="446" customWidth="1"/>
    <col min="5134" max="5134" width="7.26953125" style="446" customWidth="1"/>
    <col min="5135" max="5135" width="7.1796875" style="446" customWidth="1"/>
    <col min="5136" max="5136" width="8.26953125" style="446" customWidth="1"/>
    <col min="5137" max="5137" width="6.7265625" style="446" customWidth="1"/>
    <col min="5138" max="5138" width="7" style="446" customWidth="1"/>
    <col min="5139" max="5376" width="8.81640625" style="446"/>
    <col min="5377" max="5384" width="0" style="446" hidden="1" customWidth="1"/>
    <col min="5385" max="5385" width="2" style="446" customWidth="1"/>
    <col min="5386" max="5386" width="31.453125" style="446" customWidth="1"/>
    <col min="5387" max="5387" width="8" style="446" customWidth="1"/>
    <col min="5388" max="5388" width="8.26953125" style="446" customWidth="1"/>
    <col min="5389" max="5389" width="8" style="446" customWidth="1"/>
    <col min="5390" max="5390" width="7.26953125" style="446" customWidth="1"/>
    <col min="5391" max="5391" width="7.1796875" style="446" customWidth="1"/>
    <col min="5392" max="5392" width="8.26953125" style="446" customWidth="1"/>
    <col min="5393" max="5393" width="6.7265625" style="446" customWidth="1"/>
    <col min="5394" max="5394" width="7" style="446" customWidth="1"/>
    <col min="5395" max="5632" width="8.81640625" style="446"/>
    <col min="5633" max="5640" width="0" style="446" hidden="1" customWidth="1"/>
    <col min="5641" max="5641" width="2" style="446" customWidth="1"/>
    <col min="5642" max="5642" width="31.453125" style="446" customWidth="1"/>
    <col min="5643" max="5643" width="8" style="446" customWidth="1"/>
    <col min="5644" max="5644" width="8.26953125" style="446" customWidth="1"/>
    <col min="5645" max="5645" width="8" style="446" customWidth="1"/>
    <col min="5646" max="5646" width="7.26953125" style="446" customWidth="1"/>
    <col min="5647" max="5647" width="7.1796875" style="446" customWidth="1"/>
    <col min="5648" max="5648" width="8.26953125" style="446" customWidth="1"/>
    <col min="5649" max="5649" width="6.7265625" style="446" customWidth="1"/>
    <col min="5650" max="5650" width="7" style="446" customWidth="1"/>
    <col min="5651" max="5888" width="8.81640625" style="446"/>
    <col min="5889" max="5896" width="0" style="446" hidden="1" customWidth="1"/>
    <col min="5897" max="5897" width="2" style="446" customWidth="1"/>
    <col min="5898" max="5898" width="31.453125" style="446" customWidth="1"/>
    <col min="5899" max="5899" width="8" style="446" customWidth="1"/>
    <col min="5900" max="5900" width="8.26953125" style="446" customWidth="1"/>
    <col min="5901" max="5901" width="8" style="446" customWidth="1"/>
    <col min="5902" max="5902" width="7.26953125" style="446" customWidth="1"/>
    <col min="5903" max="5903" width="7.1796875" style="446" customWidth="1"/>
    <col min="5904" max="5904" width="8.26953125" style="446" customWidth="1"/>
    <col min="5905" max="5905" width="6.7265625" style="446" customWidth="1"/>
    <col min="5906" max="5906" width="7" style="446" customWidth="1"/>
    <col min="5907" max="6144" width="8.81640625" style="446"/>
    <col min="6145" max="6152" width="0" style="446" hidden="1" customWidth="1"/>
    <col min="6153" max="6153" width="2" style="446" customWidth="1"/>
    <col min="6154" max="6154" width="31.453125" style="446" customWidth="1"/>
    <col min="6155" max="6155" width="8" style="446" customWidth="1"/>
    <col min="6156" max="6156" width="8.26953125" style="446" customWidth="1"/>
    <col min="6157" max="6157" width="8" style="446" customWidth="1"/>
    <col min="6158" max="6158" width="7.26953125" style="446" customWidth="1"/>
    <col min="6159" max="6159" width="7.1796875" style="446" customWidth="1"/>
    <col min="6160" max="6160" width="8.26953125" style="446" customWidth="1"/>
    <col min="6161" max="6161" width="6.7265625" style="446" customWidth="1"/>
    <col min="6162" max="6162" width="7" style="446" customWidth="1"/>
    <col min="6163" max="6400" width="8.81640625" style="446"/>
    <col min="6401" max="6408" width="0" style="446" hidden="1" customWidth="1"/>
    <col min="6409" max="6409" width="2" style="446" customWidth="1"/>
    <col min="6410" max="6410" width="31.453125" style="446" customWidth="1"/>
    <col min="6411" max="6411" width="8" style="446" customWidth="1"/>
    <col min="6412" max="6412" width="8.26953125" style="446" customWidth="1"/>
    <col min="6413" max="6413" width="8" style="446" customWidth="1"/>
    <col min="6414" max="6414" width="7.26953125" style="446" customWidth="1"/>
    <col min="6415" max="6415" width="7.1796875" style="446" customWidth="1"/>
    <col min="6416" max="6416" width="8.26953125" style="446" customWidth="1"/>
    <col min="6417" max="6417" width="6.7265625" style="446" customWidth="1"/>
    <col min="6418" max="6418" width="7" style="446" customWidth="1"/>
    <col min="6419" max="6656" width="8.81640625" style="446"/>
    <col min="6657" max="6664" width="0" style="446" hidden="1" customWidth="1"/>
    <col min="6665" max="6665" width="2" style="446" customWidth="1"/>
    <col min="6666" max="6666" width="31.453125" style="446" customWidth="1"/>
    <col min="6667" max="6667" width="8" style="446" customWidth="1"/>
    <col min="6668" max="6668" width="8.26953125" style="446" customWidth="1"/>
    <col min="6669" max="6669" width="8" style="446" customWidth="1"/>
    <col min="6670" max="6670" width="7.26953125" style="446" customWidth="1"/>
    <col min="6671" max="6671" width="7.1796875" style="446" customWidth="1"/>
    <col min="6672" max="6672" width="8.26953125" style="446" customWidth="1"/>
    <col min="6673" max="6673" width="6.7265625" style="446" customWidth="1"/>
    <col min="6674" max="6674" width="7" style="446" customWidth="1"/>
    <col min="6675" max="6912" width="8.81640625" style="446"/>
    <col min="6913" max="6920" width="0" style="446" hidden="1" customWidth="1"/>
    <col min="6921" max="6921" width="2" style="446" customWidth="1"/>
    <col min="6922" max="6922" width="31.453125" style="446" customWidth="1"/>
    <col min="6923" max="6923" width="8" style="446" customWidth="1"/>
    <col min="6924" max="6924" width="8.26953125" style="446" customWidth="1"/>
    <col min="6925" max="6925" width="8" style="446" customWidth="1"/>
    <col min="6926" max="6926" width="7.26953125" style="446" customWidth="1"/>
    <col min="6927" max="6927" width="7.1796875" style="446" customWidth="1"/>
    <col min="6928" max="6928" width="8.26953125" style="446" customWidth="1"/>
    <col min="6929" max="6929" width="6.7265625" style="446" customWidth="1"/>
    <col min="6930" max="6930" width="7" style="446" customWidth="1"/>
    <col min="6931" max="7168" width="8.81640625" style="446"/>
    <col min="7169" max="7176" width="0" style="446" hidden="1" customWidth="1"/>
    <col min="7177" max="7177" width="2" style="446" customWidth="1"/>
    <col min="7178" max="7178" width="31.453125" style="446" customWidth="1"/>
    <col min="7179" max="7179" width="8" style="446" customWidth="1"/>
    <col min="7180" max="7180" width="8.26953125" style="446" customWidth="1"/>
    <col min="7181" max="7181" width="8" style="446" customWidth="1"/>
    <col min="7182" max="7182" width="7.26953125" style="446" customWidth="1"/>
    <col min="7183" max="7183" width="7.1796875" style="446" customWidth="1"/>
    <col min="7184" max="7184" width="8.26953125" style="446" customWidth="1"/>
    <col min="7185" max="7185" width="6.7265625" style="446" customWidth="1"/>
    <col min="7186" max="7186" width="7" style="446" customWidth="1"/>
    <col min="7187" max="7424" width="8.81640625" style="446"/>
    <col min="7425" max="7432" width="0" style="446" hidden="1" customWidth="1"/>
    <col min="7433" max="7433" width="2" style="446" customWidth="1"/>
    <col min="7434" max="7434" width="31.453125" style="446" customWidth="1"/>
    <col min="7435" max="7435" width="8" style="446" customWidth="1"/>
    <col min="7436" max="7436" width="8.26953125" style="446" customWidth="1"/>
    <col min="7437" max="7437" width="8" style="446" customWidth="1"/>
    <col min="7438" max="7438" width="7.26953125" style="446" customWidth="1"/>
    <col min="7439" max="7439" width="7.1796875" style="446" customWidth="1"/>
    <col min="7440" max="7440" width="8.26953125" style="446" customWidth="1"/>
    <col min="7441" max="7441" width="6.7265625" style="446" customWidth="1"/>
    <col min="7442" max="7442" width="7" style="446" customWidth="1"/>
    <col min="7443" max="7680" width="8.81640625" style="446"/>
    <col min="7681" max="7688" width="0" style="446" hidden="1" customWidth="1"/>
    <col min="7689" max="7689" width="2" style="446" customWidth="1"/>
    <col min="7690" max="7690" width="31.453125" style="446" customWidth="1"/>
    <col min="7691" max="7691" width="8" style="446" customWidth="1"/>
    <col min="7692" max="7692" width="8.26953125" style="446" customWidth="1"/>
    <col min="7693" max="7693" width="8" style="446" customWidth="1"/>
    <col min="7694" max="7694" width="7.26953125" style="446" customWidth="1"/>
    <col min="7695" max="7695" width="7.1796875" style="446" customWidth="1"/>
    <col min="7696" max="7696" width="8.26953125" style="446" customWidth="1"/>
    <col min="7697" max="7697" width="6.7265625" style="446" customWidth="1"/>
    <col min="7698" max="7698" width="7" style="446" customWidth="1"/>
    <col min="7699" max="7936" width="8.81640625" style="446"/>
    <col min="7937" max="7944" width="0" style="446" hidden="1" customWidth="1"/>
    <col min="7945" max="7945" width="2" style="446" customWidth="1"/>
    <col min="7946" max="7946" width="31.453125" style="446" customWidth="1"/>
    <col min="7947" max="7947" width="8" style="446" customWidth="1"/>
    <col min="7948" max="7948" width="8.26953125" style="446" customWidth="1"/>
    <col min="7949" max="7949" width="8" style="446" customWidth="1"/>
    <col min="7950" max="7950" width="7.26953125" style="446" customWidth="1"/>
    <col min="7951" max="7951" width="7.1796875" style="446" customWidth="1"/>
    <col min="7952" max="7952" width="8.26953125" style="446" customWidth="1"/>
    <col min="7953" max="7953" width="6.7265625" style="446" customWidth="1"/>
    <col min="7954" max="7954" width="7" style="446" customWidth="1"/>
    <col min="7955" max="8192" width="8.81640625" style="446"/>
    <col min="8193" max="8200" width="0" style="446" hidden="1" customWidth="1"/>
    <col min="8201" max="8201" width="2" style="446" customWidth="1"/>
    <col min="8202" max="8202" width="31.453125" style="446" customWidth="1"/>
    <col min="8203" max="8203" width="8" style="446" customWidth="1"/>
    <col min="8204" max="8204" width="8.26953125" style="446" customWidth="1"/>
    <col min="8205" max="8205" width="8" style="446" customWidth="1"/>
    <col min="8206" max="8206" width="7.26953125" style="446" customWidth="1"/>
    <col min="8207" max="8207" width="7.1796875" style="446" customWidth="1"/>
    <col min="8208" max="8208" width="8.26953125" style="446" customWidth="1"/>
    <col min="8209" max="8209" width="6.7265625" style="446" customWidth="1"/>
    <col min="8210" max="8210" width="7" style="446" customWidth="1"/>
    <col min="8211" max="8448" width="8.81640625" style="446"/>
    <col min="8449" max="8456" width="0" style="446" hidden="1" customWidth="1"/>
    <col min="8457" max="8457" width="2" style="446" customWidth="1"/>
    <col min="8458" max="8458" width="31.453125" style="446" customWidth="1"/>
    <col min="8459" max="8459" width="8" style="446" customWidth="1"/>
    <col min="8460" max="8460" width="8.26953125" style="446" customWidth="1"/>
    <col min="8461" max="8461" width="8" style="446" customWidth="1"/>
    <col min="8462" max="8462" width="7.26953125" style="446" customWidth="1"/>
    <col min="8463" max="8463" width="7.1796875" style="446" customWidth="1"/>
    <col min="8464" max="8464" width="8.26953125" style="446" customWidth="1"/>
    <col min="8465" max="8465" width="6.7265625" style="446" customWidth="1"/>
    <col min="8466" max="8466" width="7" style="446" customWidth="1"/>
    <col min="8467" max="8704" width="8.81640625" style="446"/>
    <col min="8705" max="8712" width="0" style="446" hidden="1" customWidth="1"/>
    <col min="8713" max="8713" width="2" style="446" customWidth="1"/>
    <col min="8714" max="8714" width="31.453125" style="446" customWidth="1"/>
    <col min="8715" max="8715" width="8" style="446" customWidth="1"/>
    <col min="8716" max="8716" width="8.26953125" style="446" customWidth="1"/>
    <col min="8717" max="8717" width="8" style="446" customWidth="1"/>
    <col min="8718" max="8718" width="7.26953125" style="446" customWidth="1"/>
    <col min="8719" max="8719" width="7.1796875" style="446" customWidth="1"/>
    <col min="8720" max="8720" width="8.26953125" style="446" customWidth="1"/>
    <col min="8721" max="8721" width="6.7265625" style="446" customWidth="1"/>
    <col min="8722" max="8722" width="7" style="446" customWidth="1"/>
    <col min="8723" max="8960" width="8.81640625" style="446"/>
    <col min="8961" max="8968" width="0" style="446" hidden="1" customWidth="1"/>
    <col min="8969" max="8969" width="2" style="446" customWidth="1"/>
    <col min="8970" max="8970" width="31.453125" style="446" customWidth="1"/>
    <col min="8971" max="8971" width="8" style="446" customWidth="1"/>
    <col min="8972" max="8972" width="8.26953125" style="446" customWidth="1"/>
    <col min="8973" max="8973" width="8" style="446" customWidth="1"/>
    <col min="8974" max="8974" width="7.26953125" style="446" customWidth="1"/>
    <col min="8975" max="8975" width="7.1796875" style="446" customWidth="1"/>
    <col min="8976" max="8976" width="8.26953125" style="446" customWidth="1"/>
    <col min="8977" max="8977" width="6.7265625" style="446" customWidth="1"/>
    <col min="8978" max="8978" width="7" style="446" customWidth="1"/>
    <col min="8979" max="9216" width="8.81640625" style="446"/>
    <col min="9217" max="9224" width="0" style="446" hidden="1" customWidth="1"/>
    <col min="9225" max="9225" width="2" style="446" customWidth="1"/>
    <col min="9226" max="9226" width="31.453125" style="446" customWidth="1"/>
    <col min="9227" max="9227" width="8" style="446" customWidth="1"/>
    <col min="9228" max="9228" width="8.26953125" style="446" customWidth="1"/>
    <col min="9229" max="9229" width="8" style="446" customWidth="1"/>
    <col min="9230" max="9230" width="7.26953125" style="446" customWidth="1"/>
    <col min="9231" max="9231" width="7.1796875" style="446" customWidth="1"/>
    <col min="9232" max="9232" width="8.26953125" style="446" customWidth="1"/>
    <col min="9233" max="9233" width="6.7265625" style="446" customWidth="1"/>
    <col min="9234" max="9234" width="7" style="446" customWidth="1"/>
    <col min="9235" max="9472" width="8.81640625" style="446"/>
    <col min="9473" max="9480" width="0" style="446" hidden="1" customWidth="1"/>
    <col min="9481" max="9481" width="2" style="446" customWidth="1"/>
    <col min="9482" max="9482" width="31.453125" style="446" customWidth="1"/>
    <col min="9483" max="9483" width="8" style="446" customWidth="1"/>
    <col min="9484" max="9484" width="8.26953125" style="446" customWidth="1"/>
    <col min="9485" max="9485" width="8" style="446" customWidth="1"/>
    <col min="9486" max="9486" width="7.26953125" style="446" customWidth="1"/>
    <col min="9487" max="9487" width="7.1796875" style="446" customWidth="1"/>
    <col min="9488" max="9488" width="8.26953125" style="446" customWidth="1"/>
    <col min="9489" max="9489" width="6.7265625" style="446" customWidth="1"/>
    <col min="9490" max="9490" width="7" style="446" customWidth="1"/>
    <col min="9491" max="9728" width="8.81640625" style="446"/>
    <col min="9729" max="9736" width="0" style="446" hidden="1" customWidth="1"/>
    <col min="9737" max="9737" width="2" style="446" customWidth="1"/>
    <col min="9738" max="9738" width="31.453125" style="446" customWidth="1"/>
    <col min="9739" max="9739" width="8" style="446" customWidth="1"/>
    <col min="9740" max="9740" width="8.26953125" style="446" customWidth="1"/>
    <col min="9741" max="9741" width="8" style="446" customWidth="1"/>
    <col min="9742" max="9742" width="7.26953125" style="446" customWidth="1"/>
    <col min="9743" max="9743" width="7.1796875" style="446" customWidth="1"/>
    <col min="9744" max="9744" width="8.26953125" style="446" customWidth="1"/>
    <col min="9745" max="9745" width="6.7265625" style="446" customWidth="1"/>
    <col min="9746" max="9746" width="7" style="446" customWidth="1"/>
    <col min="9747" max="9984" width="8.81640625" style="446"/>
    <col min="9985" max="9992" width="0" style="446" hidden="1" customWidth="1"/>
    <col min="9993" max="9993" width="2" style="446" customWidth="1"/>
    <col min="9994" max="9994" width="31.453125" style="446" customWidth="1"/>
    <col min="9995" max="9995" width="8" style="446" customWidth="1"/>
    <col min="9996" max="9996" width="8.26953125" style="446" customWidth="1"/>
    <col min="9997" max="9997" width="8" style="446" customWidth="1"/>
    <col min="9998" max="9998" width="7.26953125" style="446" customWidth="1"/>
    <col min="9999" max="9999" width="7.1796875" style="446" customWidth="1"/>
    <col min="10000" max="10000" width="8.26953125" style="446" customWidth="1"/>
    <col min="10001" max="10001" width="6.7265625" style="446" customWidth="1"/>
    <col min="10002" max="10002" width="7" style="446" customWidth="1"/>
    <col min="10003" max="10240" width="8.81640625" style="446"/>
    <col min="10241" max="10248" width="0" style="446" hidden="1" customWidth="1"/>
    <col min="10249" max="10249" width="2" style="446" customWidth="1"/>
    <col min="10250" max="10250" width="31.453125" style="446" customWidth="1"/>
    <col min="10251" max="10251" width="8" style="446" customWidth="1"/>
    <col min="10252" max="10252" width="8.26953125" style="446" customWidth="1"/>
    <col min="10253" max="10253" width="8" style="446" customWidth="1"/>
    <col min="10254" max="10254" width="7.26953125" style="446" customWidth="1"/>
    <col min="10255" max="10255" width="7.1796875" style="446" customWidth="1"/>
    <col min="10256" max="10256" width="8.26953125" style="446" customWidth="1"/>
    <col min="10257" max="10257" width="6.7265625" style="446" customWidth="1"/>
    <col min="10258" max="10258" width="7" style="446" customWidth="1"/>
    <col min="10259" max="10496" width="8.81640625" style="446"/>
    <col min="10497" max="10504" width="0" style="446" hidden="1" customWidth="1"/>
    <col min="10505" max="10505" width="2" style="446" customWidth="1"/>
    <col min="10506" max="10506" width="31.453125" style="446" customWidth="1"/>
    <col min="10507" max="10507" width="8" style="446" customWidth="1"/>
    <col min="10508" max="10508" width="8.26953125" style="446" customWidth="1"/>
    <col min="10509" max="10509" width="8" style="446" customWidth="1"/>
    <col min="10510" max="10510" width="7.26953125" style="446" customWidth="1"/>
    <col min="10511" max="10511" width="7.1796875" style="446" customWidth="1"/>
    <col min="10512" max="10512" width="8.26953125" style="446" customWidth="1"/>
    <col min="10513" max="10513" width="6.7265625" style="446" customWidth="1"/>
    <col min="10514" max="10514" width="7" style="446" customWidth="1"/>
    <col min="10515" max="10752" width="8.81640625" style="446"/>
    <col min="10753" max="10760" width="0" style="446" hidden="1" customWidth="1"/>
    <col min="10761" max="10761" width="2" style="446" customWidth="1"/>
    <col min="10762" max="10762" width="31.453125" style="446" customWidth="1"/>
    <col min="10763" max="10763" width="8" style="446" customWidth="1"/>
    <col min="10764" max="10764" width="8.26953125" style="446" customWidth="1"/>
    <col min="10765" max="10765" width="8" style="446" customWidth="1"/>
    <col min="10766" max="10766" width="7.26953125" style="446" customWidth="1"/>
    <col min="10767" max="10767" width="7.1796875" style="446" customWidth="1"/>
    <col min="10768" max="10768" width="8.26953125" style="446" customWidth="1"/>
    <col min="10769" max="10769" width="6.7265625" style="446" customWidth="1"/>
    <col min="10770" max="10770" width="7" style="446" customWidth="1"/>
    <col min="10771" max="11008" width="8.81640625" style="446"/>
    <col min="11009" max="11016" width="0" style="446" hidden="1" customWidth="1"/>
    <col min="11017" max="11017" width="2" style="446" customWidth="1"/>
    <col min="11018" max="11018" width="31.453125" style="446" customWidth="1"/>
    <col min="11019" max="11019" width="8" style="446" customWidth="1"/>
    <col min="11020" max="11020" width="8.26953125" style="446" customWidth="1"/>
    <col min="11021" max="11021" width="8" style="446" customWidth="1"/>
    <col min="11022" max="11022" width="7.26953125" style="446" customWidth="1"/>
    <col min="11023" max="11023" width="7.1796875" style="446" customWidth="1"/>
    <col min="11024" max="11024" width="8.26953125" style="446" customWidth="1"/>
    <col min="11025" max="11025" width="6.7265625" style="446" customWidth="1"/>
    <col min="11026" max="11026" width="7" style="446" customWidth="1"/>
    <col min="11027" max="11264" width="8.81640625" style="446"/>
    <col min="11265" max="11272" width="0" style="446" hidden="1" customWidth="1"/>
    <col min="11273" max="11273" width="2" style="446" customWidth="1"/>
    <col min="11274" max="11274" width="31.453125" style="446" customWidth="1"/>
    <col min="11275" max="11275" width="8" style="446" customWidth="1"/>
    <col min="11276" max="11276" width="8.26953125" style="446" customWidth="1"/>
    <col min="11277" max="11277" width="8" style="446" customWidth="1"/>
    <col min="11278" max="11278" width="7.26953125" style="446" customWidth="1"/>
    <col min="11279" max="11279" width="7.1796875" style="446" customWidth="1"/>
    <col min="11280" max="11280" width="8.26953125" style="446" customWidth="1"/>
    <col min="11281" max="11281" width="6.7265625" style="446" customWidth="1"/>
    <col min="11282" max="11282" width="7" style="446" customWidth="1"/>
    <col min="11283" max="11520" width="8.81640625" style="446"/>
    <col min="11521" max="11528" width="0" style="446" hidden="1" customWidth="1"/>
    <col min="11529" max="11529" width="2" style="446" customWidth="1"/>
    <col min="11530" max="11530" width="31.453125" style="446" customWidth="1"/>
    <col min="11531" max="11531" width="8" style="446" customWidth="1"/>
    <col min="11532" max="11532" width="8.26953125" style="446" customWidth="1"/>
    <col min="11533" max="11533" width="8" style="446" customWidth="1"/>
    <col min="11534" max="11534" width="7.26953125" style="446" customWidth="1"/>
    <col min="11535" max="11535" width="7.1796875" style="446" customWidth="1"/>
    <col min="11536" max="11536" width="8.26953125" style="446" customWidth="1"/>
    <col min="11537" max="11537" width="6.7265625" style="446" customWidth="1"/>
    <col min="11538" max="11538" width="7" style="446" customWidth="1"/>
    <col min="11539" max="11776" width="8.81640625" style="446"/>
    <col min="11777" max="11784" width="0" style="446" hidden="1" customWidth="1"/>
    <col min="11785" max="11785" width="2" style="446" customWidth="1"/>
    <col min="11786" max="11786" width="31.453125" style="446" customWidth="1"/>
    <col min="11787" max="11787" width="8" style="446" customWidth="1"/>
    <col min="11788" max="11788" width="8.26953125" style="446" customWidth="1"/>
    <col min="11789" max="11789" width="8" style="446" customWidth="1"/>
    <col min="11790" max="11790" width="7.26953125" style="446" customWidth="1"/>
    <col min="11791" max="11791" width="7.1796875" style="446" customWidth="1"/>
    <col min="11792" max="11792" width="8.26953125" style="446" customWidth="1"/>
    <col min="11793" max="11793" width="6.7265625" style="446" customWidth="1"/>
    <col min="11794" max="11794" width="7" style="446" customWidth="1"/>
    <col min="11795" max="12032" width="8.81640625" style="446"/>
    <col min="12033" max="12040" width="0" style="446" hidden="1" customWidth="1"/>
    <col min="12041" max="12041" width="2" style="446" customWidth="1"/>
    <col min="12042" max="12042" width="31.453125" style="446" customWidth="1"/>
    <col min="12043" max="12043" width="8" style="446" customWidth="1"/>
    <col min="12044" max="12044" width="8.26953125" style="446" customWidth="1"/>
    <col min="12045" max="12045" width="8" style="446" customWidth="1"/>
    <col min="12046" max="12046" width="7.26953125" style="446" customWidth="1"/>
    <col min="12047" max="12047" width="7.1796875" style="446" customWidth="1"/>
    <col min="12048" max="12048" width="8.26953125" style="446" customWidth="1"/>
    <col min="12049" max="12049" width="6.7265625" style="446" customWidth="1"/>
    <col min="12050" max="12050" width="7" style="446" customWidth="1"/>
    <col min="12051" max="12288" width="8.81640625" style="446"/>
    <col min="12289" max="12296" width="0" style="446" hidden="1" customWidth="1"/>
    <col min="12297" max="12297" width="2" style="446" customWidth="1"/>
    <col min="12298" max="12298" width="31.453125" style="446" customWidth="1"/>
    <col min="12299" max="12299" width="8" style="446" customWidth="1"/>
    <col min="12300" max="12300" width="8.26953125" style="446" customWidth="1"/>
    <col min="12301" max="12301" width="8" style="446" customWidth="1"/>
    <col min="12302" max="12302" width="7.26953125" style="446" customWidth="1"/>
    <col min="12303" max="12303" width="7.1796875" style="446" customWidth="1"/>
    <col min="12304" max="12304" width="8.26953125" style="446" customWidth="1"/>
    <col min="12305" max="12305" width="6.7265625" style="446" customWidth="1"/>
    <col min="12306" max="12306" width="7" style="446" customWidth="1"/>
    <col min="12307" max="12544" width="8.81640625" style="446"/>
    <col min="12545" max="12552" width="0" style="446" hidden="1" customWidth="1"/>
    <col min="12553" max="12553" width="2" style="446" customWidth="1"/>
    <col min="12554" max="12554" width="31.453125" style="446" customWidth="1"/>
    <col min="12555" max="12555" width="8" style="446" customWidth="1"/>
    <col min="12556" max="12556" width="8.26953125" style="446" customWidth="1"/>
    <col min="12557" max="12557" width="8" style="446" customWidth="1"/>
    <col min="12558" max="12558" width="7.26953125" style="446" customWidth="1"/>
    <col min="12559" max="12559" width="7.1796875" style="446" customWidth="1"/>
    <col min="12560" max="12560" width="8.26953125" style="446" customWidth="1"/>
    <col min="12561" max="12561" width="6.7265625" style="446" customWidth="1"/>
    <col min="12562" max="12562" width="7" style="446" customWidth="1"/>
    <col min="12563" max="12800" width="8.81640625" style="446"/>
    <col min="12801" max="12808" width="0" style="446" hidden="1" customWidth="1"/>
    <col min="12809" max="12809" width="2" style="446" customWidth="1"/>
    <col min="12810" max="12810" width="31.453125" style="446" customWidth="1"/>
    <col min="12811" max="12811" width="8" style="446" customWidth="1"/>
    <col min="12812" max="12812" width="8.26953125" style="446" customWidth="1"/>
    <col min="12813" max="12813" width="8" style="446" customWidth="1"/>
    <col min="12814" max="12814" width="7.26953125" style="446" customWidth="1"/>
    <col min="12815" max="12815" width="7.1796875" style="446" customWidth="1"/>
    <col min="12816" max="12816" width="8.26953125" style="446" customWidth="1"/>
    <col min="12817" max="12817" width="6.7265625" style="446" customWidth="1"/>
    <col min="12818" max="12818" width="7" style="446" customWidth="1"/>
    <col min="12819" max="13056" width="8.81640625" style="446"/>
    <col min="13057" max="13064" width="0" style="446" hidden="1" customWidth="1"/>
    <col min="13065" max="13065" width="2" style="446" customWidth="1"/>
    <col min="13066" max="13066" width="31.453125" style="446" customWidth="1"/>
    <col min="13067" max="13067" width="8" style="446" customWidth="1"/>
    <col min="13068" max="13068" width="8.26953125" style="446" customWidth="1"/>
    <col min="13069" max="13069" width="8" style="446" customWidth="1"/>
    <col min="13070" max="13070" width="7.26953125" style="446" customWidth="1"/>
    <col min="13071" max="13071" width="7.1796875" style="446" customWidth="1"/>
    <col min="13072" max="13072" width="8.26953125" style="446" customWidth="1"/>
    <col min="13073" max="13073" width="6.7265625" style="446" customWidth="1"/>
    <col min="13074" max="13074" width="7" style="446" customWidth="1"/>
    <col min="13075" max="13312" width="8.81640625" style="446"/>
    <col min="13313" max="13320" width="0" style="446" hidden="1" customWidth="1"/>
    <col min="13321" max="13321" width="2" style="446" customWidth="1"/>
    <col min="13322" max="13322" width="31.453125" style="446" customWidth="1"/>
    <col min="13323" max="13323" width="8" style="446" customWidth="1"/>
    <col min="13324" max="13324" width="8.26953125" style="446" customWidth="1"/>
    <col min="13325" max="13325" width="8" style="446" customWidth="1"/>
    <col min="13326" max="13326" width="7.26953125" style="446" customWidth="1"/>
    <col min="13327" max="13327" width="7.1796875" style="446" customWidth="1"/>
    <col min="13328" max="13328" width="8.26953125" style="446" customWidth="1"/>
    <col min="13329" max="13329" width="6.7265625" style="446" customWidth="1"/>
    <col min="13330" max="13330" width="7" style="446" customWidth="1"/>
    <col min="13331" max="13568" width="8.81640625" style="446"/>
    <col min="13569" max="13576" width="0" style="446" hidden="1" customWidth="1"/>
    <col min="13577" max="13577" width="2" style="446" customWidth="1"/>
    <col min="13578" max="13578" width="31.453125" style="446" customWidth="1"/>
    <col min="13579" max="13579" width="8" style="446" customWidth="1"/>
    <col min="13580" max="13580" width="8.26953125" style="446" customWidth="1"/>
    <col min="13581" max="13581" width="8" style="446" customWidth="1"/>
    <col min="13582" max="13582" width="7.26953125" style="446" customWidth="1"/>
    <col min="13583" max="13583" width="7.1796875" style="446" customWidth="1"/>
    <col min="13584" max="13584" width="8.26953125" style="446" customWidth="1"/>
    <col min="13585" max="13585" width="6.7265625" style="446" customWidth="1"/>
    <col min="13586" max="13586" width="7" style="446" customWidth="1"/>
    <col min="13587" max="13824" width="8.81640625" style="446"/>
    <col min="13825" max="13832" width="0" style="446" hidden="1" customWidth="1"/>
    <col min="13833" max="13833" width="2" style="446" customWidth="1"/>
    <col min="13834" max="13834" width="31.453125" style="446" customWidth="1"/>
    <col min="13835" max="13835" width="8" style="446" customWidth="1"/>
    <col min="13836" max="13836" width="8.26953125" style="446" customWidth="1"/>
    <col min="13837" max="13837" width="8" style="446" customWidth="1"/>
    <col min="13838" max="13838" width="7.26953125" style="446" customWidth="1"/>
    <col min="13839" max="13839" width="7.1796875" style="446" customWidth="1"/>
    <col min="13840" max="13840" width="8.26953125" style="446" customWidth="1"/>
    <col min="13841" max="13841" width="6.7265625" style="446" customWidth="1"/>
    <col min="13842" max="13842" width="7" style="446" customWidth="1"/>
    <col min="13843" max="14080" width="8.81640625" style="446"/>
    <col min="14081" max="14088" width="0" style="446" hidden="1" customWidth="1"/>
    <col min="14089" max="14089" width="2" style="446" customWidth="1"/>
    <col min="14090" max="14090" width="31.453125" style="446" customWidth="1"/>
    <col min="14091" max="14091" width="8" style="446" customWidth="1"/>
    <col min="14092" max="14092" width="8.26953125" style="446" customWidth="1"/>
    <col min="14093" max="14093" width="8" style="446" customWidth="1"/>
    <col min="14094" max="14094" width="7.26953125" style="446" customWidth="1"/>
    <col min="14095" max="14095" width="7.1796875" style="446" customWidth="1"/>
    <col min="14096" max="14096" width="8.26953125" style="446" customWidth="1"/>
    <col min="14097" max="14097" width="6.7265625" style="446" customWidth="1"/>
    <col min="14098" max="14098" width="7" style="446" customWidth="1"/>
    <col min="14099" max="14336" width="8.81640625" style="446"/>
    <col min="14337" max="14344" width="0" style="446" hidden="1" customWidth="1"/>
    <col min="14345" max="14345" width="2" style="446" customWidth="1"/>
    <col min="14346" max="14346" width="31.453125" style="446" customWidth="1"/>
    <col min="14347" max="14347" width="8" style="446" customWidth="1"/>
    <col min="14348" max="14348" width="8.26953125" style="446" customWidth="1"/>
    <col min="14349" max="14349" width="8" style="446" customWidth="1"/>
    <col min="14350" max="14350" width="7.26953125" style="446" customWidth="1"/>
    <col min="14351" max="14351" width="7.1796875" style="446" customWidth="1"/>
    <col min="14352" max="14352" width="8.26953125" style="446" customWidth="1"/>
    <col min="14353" max="14353" width="6.7265625" style="446" customWidth="1"/>
    <col min="14354" max="14354" width="7" style="446" customWidth="1"/>
    <col min="14355" max="14592" width="8.81640625" style="446"/>
    <col min="14593" max="14600" width="0" style="446" hidden="1" customWidth="1"/>
    <col min="14601" max="14601" width="2" style="446" customWidth="1"/>
    <col min="14602" max="14602" width="31.453125" style="446" customWidth="1"/>
    <col min="14603" max="14603" width="8" style="446" customWidth="1"/>
    <col min="14604" max="14604" width="8.26953125" style="446" customWidth="1"/>
    <col min="14605" max="14605" width="8" style="446" customWidth="1"/>
    <col min="14606" max="14606" width="7.26953125" style="446" customWidth="1"/>
    <col min="14607" max="14607" width="7.1796875" style="446" customWidth="1"/>
    <col min="14608" max="14608" width="8.26953125" style="446" customWidth="1"/>
    <col min="14609" max="14609" width="6.7265625" style="446" customWidth="1"/>
    <col min="14610" max="14610" width="7" style="446" customWidth="1"/>
    <col min="14611" max="14848" width="8.81640625" style="446"/>
    <col min="14849" max="14856" width="0" style="446" hidden="1" customWidth="1"/>
    <col min="14857" max="14857" width="2" style="446" customWidth="1"/>
    <col min="14858" max="14858" width="31.453125" style="446" customWidth="1"/>
    <col min="14859" max="14859" width="8" style="446" customWidth="1"/>
    <col min="14860" max="14860" width="8.26953125" style="446" customWidth="1"/>
    <col min="14861" max="14861" width="8" style="446" customWidth="1"/>
    <col min="14862" max="14862" width="7.26953125" style="446" customWidth="1"/>
    <col min="14863" max="14863" width="7.1796875" style="446" customWidth="1"/>
    <col min="14864" max="14864" width="8.26953125" style="446" customWidth="1"/>
    <col min="14865" max="14865" width="6.7265625" style="446" customWidth="1"/>
    <col min="14866" max="14866" width="7" style="446" customWidth="1"/>
    <col min="14867" max="15104" width="8.81640625" style="446"/>
    <col min="15105" max="15112" width="0" style="446" hidden="1" customWidth="1"/>
    <col min="15113" max="15113" width="2" style="446" customWidth="1"/>
    <col min="15114" max="15114" width="31.453125" style="446" customWidth="1"/>
    <col min="15115" max="15115" width="8" style="446" customWidth="1"/>
    <col min="15116" max="15116" width="8.26953125" style="446" customWidth="1"/>
    <col min="15117" max="15117" width="8" style="446" customWidth="1"/>
    <col min="15118" max="15118" width="7.26953125" style="446" customWidth="1"/>
    <col min="15119" max="15119" width="7.1796875" style="446" customWidth="1"/>
    <col min="15120" max="15120" width="8.26953125" style="446" customWidth="1"/>
    <col min="15121" max="15121" width="6.7265625" style="446" customWidth="1"/>
    <col min="15122" max="15122" width="7" style="446" customWidth="1"/>
    <col min="15123" max="15360" width="8.81640625" style="446"/>
    <col min="15361" max="15368" width="0" style="446" hidden="1" customWidth="1"/>
    <col min="15369" max="15369" width="2" style="446" customWidth="1"/>
    <col min="15370" max="15370" width="31.453125" style="446" customWidth="1"/>
    <col min="15371" max="15371" width="8" style="446" customWidth="1"/>
    <col min="15372" max="15372" width="8.26953125" style="446" customWidth="1"/>
    <col min="15373" max="15373" width="8" style="446" customWidth="1"/>
    <col min="15374" max="15374" width="7.26953125" style="446" customWidth="1"/>
    <col min="15375" max="15375" width="7.1796875" style="446" customWidth="1"/>
    <col min="15376" max="15376" width="8.26953125" style="446" customWidth="1"/>
    <col min="15377" max="15377" width="6.7265625" style="446" customWidth="1"/>
    <col min="15378" max="15378" width="7" style="446" customWidth="1"/>
    <col min="15379" max="15616" width="8.81640625" style="446"/>
    <col min="15617" max="15624" width="0" style="446" hidden="1" customWidth="1"/>
    <col min="15625" max="15625" width="2" style="446" customWidth="1"/>
    <col min="15626" max="15626" width="31.453125" style="446" customWidth="1"/>
    <col min="15627" max="15627" width="8" style="446" customWidth="1"/>
    <col min="15628" max="15628" width="8.26953125" style="446" customWidth="1"/>
    <col min="15629" max="15629" width="8" style="446" customWidth="1"/>
    <col min="15630" max="15630" width="7.26953125" style="446" customWidth="1"/>
    <col min="15631" max="15631" width="7.1796875" style="446" customWidth="1"/>
    <col min="15632" max="15632" width="8.26953125" style="446" customWidth="1"/>
    <col min="15633" max="15633" width="6.7265625" style="446" customWidth="1"/>
    <col min="15634" max="15634" width="7" style="446" customWidth="1"/>
    <col min="15635" max="15872" width="8.81640625" style="446"/>
    <col min="15873" max="15880" width="0" style="446" hidden="1" customWidth="1"/>
    <col min="15881" max="15881" width="2" style="446" customWidth="1"/>
    <col min="15882" max="15882" width="31.453125" style="446" customWidth="1"/>
    <col min="15883" max="15883" width="8" style="446" customWidth="1"/>
    <col min="15884" max="15884" width="8.26953125" style="446" customWidth="1"/>
    <col min="15885" max="15885" width="8" style="446" customWidth="1"/>
    <col min="15886" max="15886" width="7.26953125" style="446" customWidth="1"/>
    <col min="15887" max="15887" width="7.1796875" style="446" customWidth="1"/>
    <col min="15888" max="15888" width="8.26953125" style="446" customWidth="1"/>
    <col min="15889" max="15889" width="6.7265625" style="446" customWidth="1"/>
    <col min="15890" max="15890" width="7" style="446" customWidth="1"/>
    <col min="15891" max="16128" width="8.81640625" style="446"/>
    <col min="16129" max="16136" width="0" style="446" hidden="1" customWidth="1"/>
    <col min="16137" max="16137" width="2" style="446" customWidth="1"/>
    <col min="16138" max="16138" width="31.453125" style="446" customWidth="1"/>
    <col min="16139" max="16139" width="8" style="446" customWidth="1"/>
    <col min="16140" max="16140" width="8.26953125" style="446" customWidth="1"/>
    <col min="16141" max="16141" width="8" style="446" customWidth="1"/>
    <col min="16142" max="16142" width="7.26953125" style="446" customWidth="1"/>
    <col min="16143" max="16143" width="7.1796875" style="446" customWidth="1"/>
    <col min="16144" max="16144" width="8.26953125" style="446" customWidth="1"/>
    <col min="16145" max="16145" width="6.7265625" style="446" customWidth="1"/>
    <col min="16146" max="16146" width="7" style="446" customWidth="1"/>
    <col min="16147" max="16384" width="8.81640625" style="446"/>
  </cols>
  <sheetData>
    <row r="1" spans="2:18" ht="20">
      <c r="B1" s="529"/>
      <c r="C1" s="529"/>
      <c r="D1" s="529"/>
    </row>
    <row r="3" spans="2:18" ht="13">
      <c r="J3" s="531"/>
      <c r="K3" s="532"/>
      <c r="L3" s="533"/>
      <c r="M3" s="532"/>
      <c r="N3" s="532"/>
      <c r="O3" s="532"/>
      <c r="P3" s="532"/>
      <c r="Q3" s="532"/>
      <c r="R3" s="534"/>
    </row>
    <row r="4" spans="2:18">
      <c r="J4" s="535"/>
      <c r="K4" s="536"/>
      <c r="L4" s="536"/>
      <c r="M4" s="536"/>
      <c r="N4" s="536"/>
      <c r="O4" s="536"/>
      <c r="P4" s="536"/>
      <c r="Q4" s="536"/>
      <c r="R4" s="536"/>
    </row>
    <row r="5" spans="2:18">
      <c r="J5" s="535"/>
      <c r="K5" s="536"/>
      <c r="L5" s="536"/>
      <c r="M5" s="536"/>
      <c r="N5" s="536"/>
      <c r="O5" s="536"/>
      <c r="P5" s="536"/>
      <c r="Q5" s="536"/>
      <c r="R5" s="536"/>
    </row>
    <row r="6" spans="2:18">
      <c r="J6" s="535"/>
      <c r="K6" s="536"/>
      <c r="L6" s="536"/>
      <c r="M6" s="536"/>
      <c r="N6" s="536"/>
      <c r="O6" s="536"/>
      <c r="P6" s="536"/>
      <c r="Q6" s="536"/>
      <c r="R6" s="536"/>
    </row>
    <row r="7" spans="2:18">
      <c r="J7" s="535"/>
      <c r="K7" s="536"/>
      <c r="L7" s="536"/>
      <c r="M7" s="536"/>
      <c r="N7" s="536"/>
      <c r="O7" s="536"/>
      <c r="P7" s="536"/>
      <c r="Q7" s="536"/>
      <c r="R7" s="536"/>
    </row>
    <row r="8" spans="2:18">
      <c r="J8" s="535"/>
      <c r="K8" s="537"/>
      <c r="L8" s="537"/>
      <c r="M8" s="537"/>
      <c r="N8" s="537"/>
      <c r="O8" s="537"/>
      <c r="P8" s="537"/>
      <c r="Q8" s="536"/>
      <c r="R8" s="536"/>
    </row>
    <row r="9" spans="2:18">
      <c r="J9" s="535"/>
      <c r="K9" s="536"/>
      <c r="L9" s="536"/>
      <c r="M9" s="536"/>
      <c r="N9" s="536"/>
      <c r="O9" s="536"/>
      <c r="P9" s="536"/>
      <c r="Q9" s="536"/>
      <c r="R9" s="536"/>
    </row>
    <row r="10" spans="2:18" ht="15" customHeight="1">
      <c r="J10" s="535"/>
      <c r="K10" s="536"/>
      <c r="L10" s="536"/>
      <c r="M10" s="536"/>
      <c r="N10" s="536"/>
      <c r="O10" s="536"/>
      <c r="P10" s="536"/>
      <c r="Q10" s="536"/>
      <c r="R10" s="536"/>
    </row>
    <row r="11" spans="2:18">
      <c r="J11" s="535"/>
      <c r="K11" s="536"/>
      <c r="L11" s="536"/>
      <c r="M11" s="536"/>
      <c r="N11" s="536"/>
      <c r="O11" s="536"/>
      <c r="P11" s="536"/>
      <c r="Q11" s="536"/>
      <c r="R11" s="536"/>
    </row>
    <row r="12" spans="2:18" s="493" customFormat="1">
      <c r="J12" s="535"/>
      <c r="K12" s="537"/>
      <c r="L12" s="537"/>
      <c r="M12" s="537"/>
      <c r="N12" s="537"/>
      <c r="O12" s="537"/>
      <c r="P12" s="537"/>
      <c r="Q12" s="537"/>
      <c r="R12" s="537"/>
    </row>
    <row r="13" spans="2:18">
      <c r="J13" s="535"/>
      <c r="K13" s="536"/>
      <c r="L13" s="536"/>
      <c r="M13" s="536"/>
      <c r="N13" s="536"/>
      <c r="O13" s="536"/>
      <c r="P13" s="536"/>
      <c r="Q13" s="536"/>
      <c r="R13" s="536"/>
    </row>
    <row r="14" spans="2:18">
      <c r="J14" s="535"/>
      <c r="K14" s="536"/>
      <c r="L14" s="536"/>
      <c r="M14" s="536"/>
      <c r="N14" s="536"/>
      <c r="O14" s="536"/>
      <c r="P14" s="536"/>
      <c r="Q14" s="536"/>
      <c r="R14" s="536"/>
    </row>
    <row r="15" spans="2:18">
      <c r="J15" s="535"/>
      <c r="K15" s="536"/>
      <c r="L15" s="536"/>
      <c r="M15" s="536"/>
      <c r="N15" s="536"/>
      <c r="O15" s="536"/>
      <c r="P15" s="536"/>
      <c r="Q15" s="536"/>
      <c r="R15" s="536"/>
    </row>
    <row r="16" spans="2:18">
      <c r="J16" s="535"/>
      <c r="K16" s="536"/>
      <c r="L16" s="536"/>
      <c r="M16" s="536"/>
      <c r="N16" s="536"/>
      <c r="O16" s="536"/>
      <c r="P16" s="536"/>
      <c r="Q16" s="536"/>
      <c r="R16" s="536"/>
    </row>
    <row r="17" spans="10:19">
      <c r="J17" s="535"/>
      <c r="K17" s="536"/>
      <c r="L17" s="536"/>
      <c r="M17" s="536"/>
      <c r="N17" s="536"/>
      <c r="O17" s="536"/>
      <c r="P17" s="536"/>
      <c r="Q17" s="536"/>
      <c r="R17" s="536"/>
    </row>
    <row r="18" spans="10:19">
      <c r="J18" s="535"/>
      <c r="K18" s="536"/>
      <c r="L18" s="536"/>
      <c r="M18" s="536"/>
      <c r="N18" s="536"/>
      <c r="O18" s="536"/>
      <c r="P18" s="536"/>
      <c r="Q18" s="536"/>
      <c r="R18" s="536"/>
    </row>
    <row r="19" spans="10:19">
      <c r="J19" s="535"/>
      <c r="K19" s="536"/>
      <c r="L19" s="536"/>
      <c r="M19" s="536"/>
      <c r="N19" s="536"/>
      <c r="O19" s="536"/>
      <c r="P19" s="536"/>
      <c r="Q19" s="536"/>
      <c r="R19" s="536"/>
    </row>
    <row r="20" spans="10:19">
      <c r="J20" s="538"/>
      <c r="K20" s="539"/>
      <c r="L20" s="539"/>
      <c r="M20" s="539"/>
      <c r="N20" s="539"/>
      <c r="O20" s="539"/>
      <c r="P20" s="539"/>
      <c r="Q20" s="539"/>
      <c r="R20" s="539"/>
    </row>
    <row r="21" spans="10:19" ht="13" thickBot="1"/>
    <row r="22" spans="10:19" ht="13.5" thickTop="1" thickBot="1">
      <c r="K22" s="718" t="s">
        <v>373</v>
      </c>
      <c r="L22" s="719"/>
      <c r="M22" s="719"/>
      <c r="N22" s="719"/>
      <c r="O22" s="719"/>
      <c r="P22" s="719"/>
      <c r="Q22" s="719"/>
      <c r="R22" s="720"/>
    </row>
    <row r="23" spans="10:19" ht="14" thickTop="1" thickBot="1">
      <c r="K23" s="540">
        <v>7.1999999999999995E-2</v>
      </c>
      <c r="L23" s="540">
        <v>0.13500000000000001</v>
      </c>
      <c r="M23" s="540">
        <v>0.185</v>
      </c>
      <c r="N23" s="540">
        <v>0.34499999999999997</v>
      </c>
      <c r="O23" s="540">
        <v>0.47</v>
      </c>
      <c r="P23" s="540">
        <v>0.879</v>
      </c>
      <c r="Q23" s="540">
        <v>1</v>
      </c>
      <c r="R23" s="540">
        <v>1.5</v>
      </c>
    </row>
    <row r="24" spans="10:19" ht="13.5" thickTop="1" thickBot="1">
      <c r="K24" s="541">
        <v>200</v>
      </c>
      <c r="L24" s="541">
        <v>50</v>
      </c>
      <c r="M24" s="541">
        <v>30</v>
      </c>
      <c r="N24" s="541">
        <v>8</v>
      </c>
      <c r="O24" s="541">
        <v>4</v>
      </c>
      <c r="P24" s="541">
        <v>0.75</v>
      </c>
      <c r="Q24" s="542">
        <v>1</v>
      </c>
      <c r="R24" s="543">
        <v>1.5</v>
      </c>
    </row>
    <row r="25" spans="10:19" ht="13" thickTop="1">
      <c r="K25" s="530" t="s">
        <v>374</v>
      </c>
    </row>
    <row r="27" spans="10:19" ht="13" thickBot="1">
      <c r="M27" s="721" t="s">
        <v>375</v>
      </c>
      <c r="N27" s="721"/>
    </row>
    <row r="28" spans="10:19" ht="13.5" thickBot="1">
      <c r="J28" s="544" t="s">
        <v>356</v>
      </c>
      <c r="K28" s="545" t="s">
        <v>376</v>
      </c>
      <c r="L28" s="546" t="s">
        <v>377</v>
      </c>
      <c r="M28" s="547" t="s">
        <v>378</v>
      </c>
      <c r="N28" s="548" t="s">
        <v>379</v>
      </c>
      <c r="O28" s="548" t="s">
        <v>380</v>
      </c>
      <c r="P28" s="548" t="s">
        <v>6</v>
      </c>
      <c r="Q28" s="549" t="s">
        <v>381</v>
      </c>
      <c r="R28" s="550" t="s">
        <v>358</v>
      </c>
    </row>
    <row r="29" spans="10:19" ht="25.5" customHeight="1" thickBot="1">
      <c r="J29" s="551" t="s">
        <v>382</v>
      </c>
      <c r="K29" s="552">
        <v>3</v>
      </c>
      <c r="L29" s="553">
        <v>12</v>
      </c>
      <c r="M29" s="552">
        <v>30</v>
      </c>
      <c r="N29" s="554">
        <v>50</v>
      </c>
      <c r="O29" s="552">
        <v>70</v>
      </c>
      <c r="P29" s="552">
        <v>98</v>
      </c>
      <c r="Q29" s="552">
        <v>100</v>
      </c>
      <c r="R29" s="555">
        <v>100</v>
      </c>
      <c r="S29" s="446">
        <v>100</v>
      </c>
    </row>
    <row r="30" spans="10:19" ht="25.5" thickBot="1">
      <c r="J30" s="556" t="s">
        <v>372</v>
      </c>
      <c r="K30" s="557">
        <v>0</v>
      </c>
      <c r="L30" s="558">
        <v>2</v>
      </c>
      <c r="M30" s="557">
        <v>2</v>
      </c>
      <c r="N30" s="559">
        <v>2</v>
      </c>
      <c r="O30" s="557">
        <v>6</v>
      </c>
      <c r="P30" s="557">
        <v>64</v>
      </c>
      <c r="Q30" s="557">
        <v>84</v>
      </c>
      <c r="R30" s="560">
        <v>100</v>
      </c>
      <c r="S30" s="446">
        <v>100</v>
      </c>
    </row>
    <row r="31" spans="10:19" ht="13.5" thickBot="1">
      <c r="J31" s="561" t="s">
        <v>371</v>
      </c>
      <c r="K31" s="562">
        <f>TAG!L40</f>
        <v>0</v>
      </c>
      <c r="L31" s="563">
        <f>TAG!K40</f>
        <v>0</v>
      </c>
      <c r="M31" s="564">
        <f>TAG!J40</f>
        <v>0</v>
      </c>
      <c r="N31" s="565">
        <f>TAG!I40</f>
        <v>0</v>
      </c>
      <c r="O31" s="566">
        <f>TAG!H40</f>
        <v>0</v>
      </c>
      <c r="P31" s="566">
        <f>TAG!G40</f>
        <v>0</v>
      </c>
      <c r="Q31" s="566">
        <f>TAG!F40</f>
        <v>0</v>
      </c>
      <c r="R31" s="567">
        <f>TAG!E40</f>
        <v>0</v>
      </c>
    </row>
    <row r="33" spans="10:16">
      <c r="J33" s="530"/>
    </row>
    <row r="34" spans="10:16" ht="20">
      <c r="J34" s="568"/>
      <c r="K34" s="569"/>
    </row>
    <row r="35" spans="10:16" ht="20">
      <c r="J35" s="568"/>
      <c r="K35" s="569"/>
      <c r="L35" s="570"/>
      <c r="M35" s="571"/>
      <c r="N35" s="570"/>
      <c r="O35" s="570"/>
      <c r="P35" s="570"/>
    </row>
  </sheetData>
  <sheetProtection algorithmName="SHA-512" hashValue="8RohG8plBX7qjWwpfm5Q3R6jzDCuL/asIOBrXExQHJyCCkH6v/OH9Tk0atGhkVaetPPo3sOyb4xuVORRfAqvhg==" saltValue="CwZ9aPkKWaMeppCFNJclXQ==" spinCount="100000" sheet="1" objects="1" scenarios="1"/>
  <mergeCells count="2">
    <mergeCell ref="K22:R22"/>
    <mergeCell ref="M27:N27"/>
  </mergeCells>
  <pageMargins left="0.75" right="0.75" top="1" bottom="1" header="0.5" footer="0.5"/>
  <pageSetup orientation="landscape" r:id="rId1"/>
  <headerFooter alignWithMargins="0">
    <oddFooter>&amp;CCreated by Robert Rea 2005
Modified by Lieska Halsey 2008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O48"/>
  <sheetViews>
    <sheetView showGridLines="0" showRowColHeaders="0" showRuler="0" topLeftCell="A10" zoomScale="80" zoomScaleNormal="80" zoomScaleSheetLayoutView="75" zoomScalePageLayoutView="70" workbookViewId="0">
      <selection activeCell="N47" sqref="N47"/>
    </sheetView>
  </sheetViews>
  <sheetFormatPr defaultRowHeight="12.5"/>
  <cols>
    <col min="1" max="2" width="8.81640625" style="446"/>
    <col min="3" max="3" width="33.81640625" style="446" customWidth="1"/>
    <col min="4" max="4" width="14.81640625" style="446" customWidth="1"/>
    <col min="5" max="6" width="12.26953125" style="446" customWidth="1"/>
    <col min="7" max="7" width="10.54296875" style="446" customWidth="1"/>
    <col min="8" max="12" width="10.26953125" style="446" customWidth="1"/>
    <col min="13" max="13" width="9.81640625" style="446" bestFit="1" customWidth="1"/>
    <col min="14" max="258" width="8.81640625" style="446"/>
    <col min="259" max="259" width="33.81640625" style="446" customWidth="1"/>
    <col min="260" max="260" width="14.81640625" style="446" customWidth="1"/>
    <col min="261" max="262" width="12.26953125" style="446" customWidth="1"/>
    <col min="263" max="263" width="10.54296875" style="446" customWidth="1"/>
    <col min="264" max="268" width="10.26953125" style="446" customWidth="1"/>
    <col min="269" max="269" width="9.81640625" style="446" bestFit="1" customWidth="1"/>
    <col min="270" max="514" width="8.81640625" style="446"/>
    <col min="515" max="515" width="33.81640625" style="446" customWidth="1"/>
    <col min="516" max="516" width="14.81640625" style="446" customWidth="1"/>
    <col min="517" max="518" width="12.26953125" style="446" customWidth="1"/>
    <col min="519" max="519" width="10.54296875" style="446" customWidth="1"/>
    <col min="520" max="524" width="10.26953125" style="446" customWidth="1"/>
    <col min="525" max="525" width="9.81640625" style="446" bestFit="1" customWidth="1"/>
    <col min="526" max="770" width="8.81640625" style="446"/>
    <col min="771" max="771" width="33.81640625" style="446" customWidth="1"/>
    <col min="772" max="772" width="14.81640625" style="446" customWidth="1"/>
    <col min="773" max="774" width="12.26953125" style="446" customWidth="1"/>
    <col min="775" max="775" width="10.54296875" style="446" customWidth="1"/>
    <col min="776" max="780" width="10.26953125" style="446" customWidth="1"/>
    <col min="781" max="781" width="9.81640625" style="446" bestFit="1" customWidth="1"/>
    <col min="782" max="1026" width="8.81640625" style="446"/>
    <col min="1027" max="1027" width="33.81640625" style="446" customWidth="1"/>
    <col min="1028" max="1028" width="14.81640625" style="446" customWidth="1"/>
    <col min="1029" max="1030" width="12.26953125" style="446" customWidth="1"/>
    <col min="1031" max="1031" width="10.54296875" style="446" customWidth="1"/>
    <col min="1032" max="1036" width="10.26953125" style="446" customWidth="1"/>
    <col min="1037" max="1037" width="9.81640625" style="446" bestFit="1" customWidth="1"/>
    <col min="1038" max="1282" width="8.81640625" style="446"/>
    <col min="1283" max="1283" width="33.81640625" style="446" customWidth="1"/>
    <col min="1284" max="1284" width="14.81640625" style="446" customWidth="1"/>
    <col min="1285" max="1286" width="12.26953125" style="446" customWidth="1"/>
    <col min="1287" max="1287" width="10.54296875" style="446" customWidth="1"/>
    <col min="1288" max="1292" width="10.26953125" style="446" customWidth="1"/>
    <col min="1293" max="1293" width="9.81640625" style="446" bestFit="1" customWidth="1"/>
    <col min="1294" max="1538" width="8.81640625" style="446"/>
    <col min="1539" max="1539" width="33.81640625" style="446" customWidth="1"/>
    <col min="1540" max="1540" width="14.81640625" style="446" customWidth="1"/>
    <col min="1541" max="1542" width="12.26953125" style="446" customWidth="1"/>
    <col min="1543" max="1543" width="10.54296875" style="446" customWidth="1"/>
    <col min="1544" max="1548" width="10.26953125" style="446" customWidth="1"/>
    <col min="1549" max="1549" width="9.81640625" style="446" bestFit="1" customWidth="1"/>
    <col min="1550" max="1794" width="8.81640625" style="446"/>
    <col min="1795" max="1795" width="33.81640625" style="446" customWidth="1"/>
    <col min="1796" max="1796" width="14.81640625" style="446" customWidth="1"/>
    <col min="1797" max="1798" width="12.26953125" style="446" customWidth="1"/>
    <col min="1799" max="1799" width="10.54296875" style="446" customWidth="1"/>
    <col min="1800" max="1804" width="10.26953125" style="446" customWidth="1"/>
    <col min="1805" max="1805" width="9.81640625" style="446" bestFit="1" customWidth="1"/>
    <col min="1806" max="2050" width="8.81640625" style="446"/>
    <col min="2051" max="2051" width="33.81640625" style="446" customWidth="1"/>
    <col min="2052" max="2052" width="14.81640625" style="446" customWidth="1"/>
    <col min="2053" max="2054" width="12.26953125" style="446" customWidth="1"/>
    <col min="2055" max="2055" width="10.54296875" style="446" customWidth="1"/>
    <col min="2056" max="2060" width="10.26953125" style="446" customWidth="1"/>
    <col min="2061" max="2061" width="9.81640625" style="446" bestFit="1" customWidth="1"/>
    <col min="2062" max="2306" width="8.81640625" style="446"/>
    <col min="2307" max="2307" width="33.81640625" style="446" customWidth="1"/>
    <col min="2308" max="2308" width="14.81640625" style="446" customWidth="1"/>
    <col min="2309" max="2310" width="12.26953125" style="446" customWidth="1"/>
    <col min="2311" max="2311" width="10.54296875" style="446" customWidth="1"/>
    <col min="2312" max="2316" width="10.26953125" style="446" customWidth="1"/>
    <col min="2317" max="2317" width="9.81640625" style="446" bestFit="1" customWidth="1"/>
    <col min="2318" max="2562" width="8.81640625" style="446"/>
    <col min="2563" max="2563" width="33.81640625" style="446" customWidth="1"/>
    <col min="2564" max="2564" width="14.81640625" style="446" customWidth="1"/>
    <col min="2565" max="2566" width="12.26953125" style="446" customWidth="1"/>
    <col min="2567" max="2567" width="10.54296875" style="446" customWidth="1"/>
    <col min="2568" max="2572" width="10.26953125" style="446" customWidth="1"/>
    <col min="2573" max="2573" width="9.81640625" style="446" bestFit="1" customWidth="1"/>
    <col min="2574" max="2818" width="8.81640625" style="446"/>
    <col min="2819" max="2819" width="33.81640625" style="446" customWidth="1"/>
    <col min="2820" max="2820" width="14.81640625" style="446" customWidth="1"/>
    <col min="2821" max="2822" width="12.26953125" style="446" customWidth="1"/>
    <col min="2823" max="2823" width="10.54296875" style="446" customWidth="1"/>
    <col min="2824" max="2828" width="10.26953125" style="446" customWidth="1"/>
    <col min="2829" max="2829" width="9.81640625" style="446" bestFit="1" customWidth="1"/>
    <col min="2830" max="3074" width="8.81640625" style="446"/>
    <col min="3075" max="3075" width="33.81640625" style="446" customWidth="1"/>
    <col min="3076" max="3076" width="14.81640625" style="446" customWidth="1"/>
    <col min="3077" max="3078" width="12.26953125" style="446" customWidth="1"/>
    <col min="3079" max="3079" width="10.54296875" style="446" customWidth="1"/>
    <col min="3080" max="3084" width="10.26953125" style="446" customWidth="1"/>
    <col min="3085" max="3085" width="9.81640625" style="446" bestFit="1" customWidth="1"/>
    <col min="3086" max="3330" width="8.81640625" style="446"/>
    <col min="3331" max="3331" width="33.81640625" style="446" customWidth="1"/>
    <col min="3332" max="3332" width="14.81640625" style="446" customWidth="1"/>
    <col min="3333" max="3334" width="12.26953125" style="446" customWidth="1"/>
    <col min="3335" max="3335" width="10.54296875" style="446" customWidth="1"/>
    <col min="3336" max="3340" width="10.26953125" style="446" customWidth="1"/>
    <col min="3341" max="3341" width="9.81640625" style="446" bestFit="1" customWidth="1"/>
    <col min="3342" max="3586" width="8.81640625" style="446"/>
    <col min="3587" max="3587" width="33.81640625" style="446" customWidth="1"/>
    <col min="3588" max="3588" width="14.81640625" style="446" customWidth="1"/>
    <col min="3589" max="3590" width="12.26953125" style="446" customWidth="1"/>
    <col min="3591" max="3591" width="10.54296875" style="446" customWidth="1"/>
    <col min="3592" max="3596" width="10.26953125" style="446" customWidth="1"/>
    <col min="3597" max="3597" width="9.81640625" style="446" bestFit="1" customWidth="1"/>
    <col min="3598" max="3842" width="8.81640625" style="446"/>
    <col min="3843" max="3843" width="33.81640625" style="446" customWidth="1"/>
    <col min="3844" max="3844" width="14.81640625" style="446" customWidth="1"/>
    <col min="3845" max="3846" width="12.26953125" style="446" customWidth="1"/>
    <col min="3847" max="3847" width="10.54296875" style="446" customWidth="1"/>
    <col min="3848" max="3852" width="10.26953125" style="446" customWidth="1"/>
    <col min="3853" max="3853" width="9.81640625" style="446" bestFit="1" customWidth="1"/>
    <col min="3854" max="4098" width="8.81640625" style="446"/>
    <col min="4099" max="4099" width="33.81640625" style="446" customWidth="1"/>
    <col min="4100" max="4100" width="14.81640625" style="446" customWidth="1"/>
    <col min="4101" max="4102" width="12.26953125" style="446" customWidth="1"/>
    <col min="4103" max="4103" width="10.54296875" style="446" customWidth="1"/>
    <col min="4104" max="4108" width="10.26953125" style="446" customWidth="1"/>
    <col min="4109" max="4109" width="9.81640625" style="446" bestFit="1" customWidth="1"/>
    <col min="4110" max="4354" width="8.81640625" style="446"/>
    <col min="4355" max="4355" width="33.81640625" style="446" customWidth="1"/>
    <col min="4356" max="4356" width="14.81640625" style="446" customWidth="1"/>
    <col min="4357" max="4358" width="12.26953125" style="446" customWidth="1"/>
    <col min="4359" max="4359" width="10.54296875" style="446" customWidth="1"/>
    <col min="4360" max="4364" width="10.26953125" style="446" customWidth="1"/>
    <col min="4365" max="4365" width="9.81640625" style="446" bestFit="1" customWidth="1"/>
    <col min="4366" max="4610" width="8.81640625" style="446"/>
    <col min="4611" max="4611" width="33.81640625" style="446" customWidth="1"/>
    <col min="4612" max="4612" width="14.81640625" style="446" customWidth="1"/>
    <col min="4613" max="4614" width="12.26953125" style="446" customWidth="1"/>
    <col min="4615" max="4615" width="10.54296875" style="446" customWidth="1"/>
    <col min="4616" max="4620" width="10.26953125" style="446" customWidth="1"/>
    <col min="4621" max="4621" width="9.81640625" style="446" bestFit="1" customWidth="1"/>
    <col min="4622" max="4866" width="8.81640625" style="446"/>
    <col min="4867" max="4867" width="33.81640625" style="446" customWidth="1"/>
    <col min="4868" max="4868" width="14.81640625" style="446" customWidth="1"/>
    <col min="4869" max="4870" width="12.26953125" style="446" customWidth="1"/>
    <col min="4871" max="4871" width="10.54296875" style="446" customWidth="1"/>
    <col min="4872" max="4876" width="10.26953125" style="446" customWidth="1"/>
    <col min="4877" max="4877" width="9.81640625" style="446" bestFit="1" customWidth="1"/>
    <col min="4878" max="5122" width="8.81640625" style="446"/>
    <col min="5123" max="5123" width="33.81640625" style="446" customWidth="1"/>
    <col min="5124" max="5124" width="14.81640625" style="446" customWidth="1"/>
    <col min="5125" max="5126" width="12.26953125" style="446" customWidth="1"/>
    <col min="5127" max="5127" width="10.54296875" style="446" customWidth="1"/>
    <col min="5128" max="5132" width="10.26953125" style="446" customWidth="1"/>
    <col min="5133" max="5133" width="9.81640625" style="446" bestFit="1" customWidth="1"/>
    <col min="5134" max="5378" width="8.81640625" style="446"/>
    <col min="5379" max="5379" width="33.81640625" style="446" customWidth="1"/>
    <col min="5380" max="5380" width="14.81640625" style="446" customWidth="1"/>
    <col min="5381" max="5382" width="12.26953125" style="446" customWidth="1"/>
    <col min="5383" max="5383" width="10.54296875" style="446" customWidth="1"/>
    <col min="5384" max="5388" width="10.26953125" style="446" customWidth="1"/>
    <col min="5389" max="5389" width="9.81640625" style="446" bestFit="1" customWidth="1"/>
    <col min="5390" max="5634" width="8.81640625" style="446"/>
    <col min="5635" max="5635" width="33.81640625" style="446" customWidth="1"/>
    <col min="5636" max="5636" width="14.81640625" style="446" customWidth="1"/>
    <col min="5637" max="5638" width="12.26953125" style="446" customWidth="1"/>
    <col min="5639" max="5639" width="10.54296875" style="446" customWidth="1"/>
    <col min="5640" max="5644" width="10.26953125" style="446" customWidth="1"/>
    <col min="5645" max="5645" width="9.81640625" style="446" bestFit="1" customWidth="1"/>
    <col min="5646" max="5890" width="8.81640625" style="446"/>
    <col min="5891" max="5891" width="33.81640625" style="446" customWidth="1"/>
    <col min="5892" max="5892" width="14.81640625" style="446" customWidth="1"/>
    <col min="5893" max="5894" width="12.26953125" style="446" customWidth="1"/>
    <col min="5895" max="5895" width="10.54296875" style="446" customWidth="1"/>
    <col min="5896" max="5900" width="10.26953125" style="446" customWidth="1"/>
    <col min="5901" max="5901" width="9.81640625" style="446" bestFit="1" customWidth="1"/>
    <col min="5902" max="6146" width="8.81640625" style="446"/>
    <col min="6147" max="6147" width="33.81640625" style="446" customWidth="1"/>
    <col min="6148" max="6148" width="14.81640625" style="446" customWidth="1"/>
    <col min="6149" max="6150" width="12.26953125" style="446" customWidth="1"/>
    <col min="6151" max="6151" width="10.54296875" style="446" customWidth="1"/>
    <col min="6152" max="6156" width="10.26953125" style="446" customWidth="1"/>
    <col min="6157" max="6157" width="9.81640625" style="446" bestFit="1" customWidth="1"/>
    <col min="6158" max="6402" width="8.81640625" style="446"/>
    <col min="6403" max="6403" width="33.81640625" style="446" customWidth="1"/>
    <col min="6404" max="6404" width="14.81640625" style="446" customWidth="1"/>
    <col min="6405" max="6406" width="12.26953125" style="446" customWidth="1"/>
    <col min="6407" max="6407" width="10.54296875" style="446" customWidth="1"/>
    <col min="6408" max="6412" width="10.26953125" style="446" customWidth="1"/>
    <col min="6413" max="6413" width="9.81640625" style="446" bestFit="1" customWidth="1"/>
    <col min="6414" max="6658" width="8.81640625" style="446"/>
    <col min="6659" max="6659" width="33.81640625" style="446" customWidth="1"/>
    <col min="6660" max="6660" width="14.81640625" style="446" customWidth="1"/>
    <col min="6661" max="6662" width="12.26953125" style="446" customWidth="1"/>
    <col min="6663" max="6663" width="10.54296875" style="446" customWidth="1"/>
    <col min="6664" max="6668" width="10.26953125" style="446" customWidth="1"/>
    <col min="6669" max="6669" width="9.81640625" style="446" bestFit="1" customWidth="1"/>
    <col min="6670" max="6914" width="8.81640625" style="446"/>
    <col min="6915" max="6915" width="33.81640625" style="446" customWidth="1"/>
    <col min="6916" max="6916" width="14.81640625" style="446" customWidth="1"/>
    <col min="6917" max="6918" width="12.26953125" style="446" customWidth="1"/>
    <col min="6919" max="6919" width="10.54296875" style="446" customWidth="1"/>
    <col min="6920" max="6924" width="10.26953125" style="446" customWidth="1"/>
    <col min="6925" max="6925" width="9.81640625" style="446" bestFit="1" customWidth="1"/>
    <col min="6926" max="7170" width="8.81640625" style="446"/>
    <col min="7171" max="7171" width="33.81640625" style="446" customWidth="1"/>
    <col min="7172" max="7172" width="14.81640625" style="446" customWidth="1"/>
    <col min="7173" max="7174" width="12.26953125" style="446" customWidth="1"/>
    <col min="7175" max="7175" width="10.54296875" style="446" customWidth="1"/>
    <col min="7176" max="7180" width="10.26953125" style="446" customWidth="1"/>
    <col min="7181" max="7181" width="9.81640625" style="446" bestFit="1" customWidth="1"/>
    <col min="7182" max="7426" width="8.81640625" style="446"/>
    <col min="7427" max="7427" width="33.81640625" style="446" customWidth="1"/>
    <col min="7428" max="7428" width="14.81640625" style="446" customWidth="1"/>
    <col min="7429" max="7430" width="12.26953125" style="446" customWidth="1"/>
    <col min="7431" max="7431" width="10.54296875" style="446" customWidth="1"/>
    <col min="7432" max="7436" width="10.26953125" style="446" customWidth="1"/>
    <col min="7437" max="7437" width="9.81640625" style="446" bestFit="1" customWidth="1"/>
    <col min="7438" max="7682" width="8.81640625" style="446"/>
    <col min="7683" max="7683" width="33.81640625" style="446" customWidth="1"/>
    <col min="7684" max="7684" width="14.81640625" style="446" customWidth="1"/>
    <col min="7685" max="7686" width="12.26953125" style="446" customWidth="1"/>
    <col min="7687" max="7687" width="10.54296875" style="446" customWidth="1"/>
    <col min="7688" max="7692" width="10.26953125" style="446" customWidth="1"/>
    <col min="7693" max="7693" width="9.81640625" style="446" bestFit="1" customWidth="1"/>
    <col min="7694" max="7938" width="8.81640625" style="446"/>
    <col min="7939" max="7939" width="33.81640625" style="446" customWidth="1"/>
    <col min="7940" max="7940" width="14.81640625" style="446" customWidth="1"/>
    <col min="7941" max="7942" width="12.26953125" style="446" customWidth="1"/>
    <col min="7943" max="7943" width="10.54296875" style="446" customWidth="1"/>
    <col min="7944" max="7948" width="10.26953125" style="446" customWidth="1"/>
    <col min="7949" max="7949" width="9.81640625" style="446" bestFit="1" customWidth="1"/>
    <col min="7950" max="8194" width="8.81640625" style="446"/>
    <col min="8195" max="8195" width="33.81640625" style="446" customWidth="1"/>
    <col min="8196" max="8196" width="14.81640625" style="446" customWidth="1"/>
    <col min="8197" max="8198" width="12.26953125" style="446" customWidth="1"/>
    <col min="8199" max="8199" width="10.54296875" style="446" customWidth="1"/>
    <col min="8200" max="8204" width="10.26953125" style="446" customWidth="1"/>
    <col min="8205" max="8205" width="9.81640625" style="446" bestFit="1" customWidth="1"/>
    <col min="8206" max="8450" width="8.81640625" style="446"/>
    <col min="8451" max="8451" width="33.81640625" style="446" customWidth="1"/>
    <col min="8452" max="8452" width="14.81640625" style="446" customWidth="1"/>
    <col min="8453" max="8454" width="12.26953125" style="446" customWidth="1"/>
    <col min="8455" max="8455" width="10.54296875" style="446" customWidth="1"/>
    <col min="8456" max="8460" width="10.26953125" style="446" customWidth="1"/>
    <col min="8461" max="8461" width="9.81640625" style="446" bestFit="1" customWidth="1"/>
    <col min="8462" max="8706" width="8.81640625" style="446"/>
    <col min="8707" max="8707" width="33.81640625" style="446" customWidth="1"/>
    <col min="8708" max="8708" width="14.81640625" style="446" customWidth="1"/>
    <col min="8709" max="8710" width="12.26953125" style="446" customWidth="1"/>
    <col min="8711" max="8711" width="10.54296875" style="446" customWidth="1"/>
    <col min="8712" max="8716" width="10.26953125" style="446" customWidth="1"/>
    <col min="8717" max="8717" width="9.81640625" style="446" bestFit="1" customWidth="1"/>
    <col min="8718" max="8962" width="8.81640625" style="446"/>
    <col min="8963" max="8963" width="33.81640625" style="446" customWidth="1"/>
    <col min="8964" max="8964" width="14.81640625" style="446" customWidth="1"/>
    <col min="8965" max="8966" width="12.26953125" style="446" customWidth="1"/>
    <col min="8967" max="8967" width="10.54296875" style="446" customWidth="1"/>
    <col min="8968" max="8972" width="10.26953125" style="446" customWidth="1"/>
    <col min="8973" max="8973" width="9.81640625" style="446" bestFit="1" customWidth="1"/>
    <col min="8974" max="9218" width="8.81640625" style="446"/>
    <col min="9219" max="9219" width="33.81640625" style="446" customWidth="1"/>
    <col min="9220" max="9220" width="14.81640625" style="446" customWidth="1"/>
    <col min="9221" max="9222" width="12.26953125" style="446" customWidth="1"/>
    <col min="9223" max="9223" width="10.54296875" style="446" customWidth="1"/>
    <col min="9224" max="9228" width="10.26953125" style="446" customWidth="1"/>
    <col min="9229" max="9229" width="9.81640625" style="446" bestFit="1" customWidth="1"/>
    <col min="9230" max="9474" width="8.81640625" style="446"/>
    <col min="9475" max="9475" width="33.81640625" style="446" customWidth="1"/>
    <col min="9476" max="9476" width="14.81640625" style="446" customWidth="1"/>
    <col min="9477" max="9478" width="12.26953125" style="446" customWidth="1"/>
    <col min="9479" max="9479" width="10.54296875" style="446" customWidth="1"/>
    <col min="9480" max="9484" width="10.26953125" style="446" customWidth="1"/>
    <col min="9485" max="9485" width="9.81640625" style="446" bestFit="1" customWidth="1"/>
    <col min="9486" max="9730" width="8.81640625" style="446"/>
    <col min="9731" max="9731" width="33.81640625" style="446" customWidth="1"/>
    <col min="9732" max="9732" width="14.81640625" style="446" customWidth="1"/>
    <col min="9733" max="9734" width="12.26953125" style="446" customWidth="1"/>
    <col min="9735" max="9735" width="10.54296875" style="446" customWidth="1"/>
    <col min="9736" max="9740" width="10.26953125" style="446" customWidth="1"/>
    <col min="9741" max="9741" width="9.81640625" style="446" bestFit="1" customWidth="1"/>
    <col min="9742" max="9986" width="8.81640625" style="446"/>
    <col min="9987" max="9987" width="33.81640625" style="446" customWidth="1"/>
    <col min="9988" max="9988" width="14.81640625" style="446" customWidth="1"/>
    <col min="9989" max="9990" width="12.26953125" style="446" customWidth="1"/>
    <col min="9991" max="9991" width="10.54296875" style="446" customWidth="1"/>
    <col min="9992" max="9996" width="10.26953125" style="446" customWidth="1"/>
    <col min="9997" max="9997" width="9.81640625" style="446" bestFit="1" customWidth="1"/>
    <col min="9998" max="10242" width="8.81640625" style="446"/>
    <col min="10243" max="10243" width="33.81640625" style="446" customWidth="1"/>
    <col min="10244" max="10244" width="14.81640625" style="446" customWidth="1"/>
    <col min="10245" max="10246" width="12.26953125" style="446" customWidth="1"/>
    <col min="10247" max="10247" width="10.54296875" style="446" customWidth="1"/>
    <col min="10248" max="10252" width="10.26953125" style="446" customWidth="1"/>
    <col min="10253" max="10253" width="9.81640625" style="446" bestFit="1" customWidth="1"/>
    <col min="10254" max="10498" width="8.81640625" style="446"/>
    <col min="10499" max="10499" width="33.81640625" style="446" customWidth="1"/>
    <col min="10500" max="10500" width="14.81640625" style="446" customWidth="1"/>
    <col min="10501" max="10502" width="12.26953125" style="446" customWidth="1"/>
    <col min="10503" max="10503" width="10.54296875" style="446" customWidth="1"/>
    <col min="10504" max="10508" width="10.26953125" style="446" customWidth="1"/>
    <col min="10509" max="10509" width="9.81640625" style="446" bestFit="1" customWidth="1"/>
    <col min="10510" max="10754" width="8.81640625" style="446"/>
    <col min="10755" max="10755" width="33.81640625" style="446" customWidth="1"/>
    <col min="10756" max="10756" width="14.81640625" style="446" customWidth="1"/>
    <col min="10757" max="10758" width="12.26953125" style="446" customWidth="1"/>
    <col min="10759" max="10759" width="10.54296875" style="446" customWidth="1"/>
    <col min="10760" max="10764" width="10.26953125" style="446" customWidth="1"/>
    <col min="10765" max="10765" width="9.81640625" style="446" bestFit="1" customWidth="1"/>
    <col min="10766" max="11010" width="8.81640625" style="446"/>
    <col min="11011" max="11011" width="33.81640625" style="446" customWidth="1"/>
    <col min="11012" max="11012" width="14.81640625" style="446" customWidth="1"/>
    <col min="11013" max="11014" width="12.26953125" style="446" customWidth="1"/>
    <col min="11015" max="11015" width="10.54296875" style="446" customWidth="1"/>
    <col min="11016" max="11020" width="10.26953125" style="446" customWidth="1"/>
    <col min="11021" max="11021" width="9.81640625" style="446" bestFit="1" customWidth="1"/>
    <col min="11022" max="11266" width="8.81640625" style="446"/>
    <col min="11267" max="11267" width="33.81640625" style="446" customWidth="1"/>
    <col min="11268" max="11268" width="14.81640625" style="446" customWidth="1"/>
    <col min="11269" max="11270" width="12.26953125" style="446" customWidth="1"/>
    <col min="11271" max="11271" width="10.54296875" style="446" customWidth="1"/>
    <col min="11272" max="11276" width="10.26953125" style="446" customWidth="1"/>
    <col min="11277" max="11277" width="9.81640625" style="446" bestFit="1" customWidth="1"/>
    <col min="11278" max="11522" width="8.81640625" style="446"/>
    <col min="11523" max="11523" width="33.81640625" style="446" customWidth="1"/>
    <col min="11524" max="11524" width="14.81640625" style="446" customWidth="1"/>
    <col min="11525" max="11526" width="12.26953125" style="446" customWidth="1"/>
    <col min="11527" max="11527" width="10.54296875" style="446" customWidth="1"/>
    <col min="11528" max="11532" width="10.26953125" style="446" customWidth="1"/>
    <col min="11533" max="11533" width="9.81640625" style="446" bestFit="1" customWidth="1"/>
    <col min="11534" max="11778" width="8.81640625" style="446"/>
    <col min="11779" max="11779" width="33.81640625" style="446" customWidth="1"/>
    <col min="11780" max="11780" width="14.81640625" style="446" customWidth="1"/>
    <col min="11781" max="11782" width="12.26953125" style="446" customWidth="1"/>
    <col min="11783" max="11783" width="10.54296875" style="446" customWidth="1"/>
    <col min="11784" max="11788" width="10.26953125" style="446" customWidth="1"/>
    <col min="11789" max="11789" width="9.81640625" style="446" bestFit="1" customWidth="1"/>
    <col min="11790" max="12034" width="8.81640625" style="446"/>
    <col min="12035" max="12035" width="33.81640625" style="446" customWidth="1"/>
    <col min="12036" max="12036" width="14.81640625" style="446" customWidth="1"/>
    <col min="12037" max="12038" width="12.26953125" style="446" customWidth="1"/>
    <col min="12039" max="12039" width="10.54296875" style="446" customWidth="1"/>
    <col min="12040" max="12044" width="10.26953125" style="446" customWidth="1"/>
    <col min="12045" max="12045" width="9.81640625" style="446" bestFit="1" customWidth="1"/>
    <col min="12046" max="12290" width="8.81640625" style="446"/>
    <col min="12291" max="12291" width="33.81640625" style="446" customWidth="1"/>
    <col min="12292" max="12292" width="14.81640625" style="446" customWidth="1"/>
    <col min="12293" max="12294" width="12.26953125" style="446" customWidth="1"/>
    <col min="12295" max="12295" width="10.54296875" style="446" customWidth="1"/>
    <col min="12296" max="12300" width="10.26953125" style="446" customWidth="1"/>
    <col min="12301" max="12301" width="9.81640625" style="446" bestFit="1" customWidth="1"/>
    <col min="12302" max="12546" width="8.81640625" style="446"/>
    <col min="12547" max="12547" width="33.81640625" style="446" customWidth="1"/>
    <col min="12548" max="12548" width="14.81640625" style="446" customWidth="1"/>
    <col min="12549" max="12550" width="12.26953125" style="446" customWidth="1"/>
    <col min="12551" max="12551" width="10.54296875" style="446" customWidth="1"/>
    <col min="12552" max="12556" width="10.26953125" style="446" customWidth="1"/>
    <col min="12557" max="12557" width="9.81640625" style="446" bestFit="1" customWidth="1"/>
    <col min="12558" max="12802" width="8.81640625" style="446"/>
    <col min="12803" max="12803" width="33.81640625" style="446" customWidth="1"/>
    <col min="12804" max="12804" width="14.81640625" style="446" customWidth="1"/>
    <col min="12805" max="12806" width="12.26953125" style="446" customWidth="1"/>
    <col min="12807" max="12807" width="10.54296875" style="446" customWidth="1"/>
    <col min="12808" max="12812" width="10.26953125" style="446" customWidth="1"/>
    <col min="12813" max="12813" width="9.81640625" style="446" bestFit="1" customWidth="1"/>
    <col min="12814" max="13058" width="8.81640625" style="446"/>
    <col min="13059" max="13059" width="33.81640625" style="446" customWidth="1"/>
    <col min="13060" max="13060" width="14.81640625" style="446" customWidth="1"/>
    <col min="13061" max="13062" width="12.26953125" style="446" customWidth="1"/>
    <col min="13063" max="13063" width="10.54296875" style="446" customWidth="1"/>
    <col min="13064" max="13068" width="10.26953125" style="446" customWidth="1"/>
    <col min="13069" max="13069" width="9.81640625" style="446" bestFit="1" customWidth="1"/>
    <col min="13070" max="13314" width="8.81640625" style="446"/>
    <col min="13315" max="13315" width="33.81640625" style="446" customWidth="1"/>
    <col min="13316" max="13316" width="14.81640625" style="446" customWidth="1"/>
    <col min="13317" max="13318" width="12.26953125" style="446" customWidth="1"/>
    <col min="13319" max="13319" width="10.54296875" style="446" customWidth="1"/>
    <col min="13320" max="13324" width="10.26953125" style="446" customWidth="1"/>
    <col min="13325" max="13325" width="9.81640625" style="446" bestFit="1" customWidth="1"/>
    <col min="13326" max="13570" width="8.81640625" style="446"/>
    <col min="13571" max="13571" width="33.81640625" style="446" customWidth="1"/>
    <col min="13572" max="13572" width="14.81640625" style="446" customWidth="1"/>
    <col min="13573" max="13574" width="12.26953125" style="446" customWidth="1"/>
    <col min="13575" max="13575" width="10.54296875" style="446" customWidth="1"/>
    <col min="13576" max="13580" width="10.26953125" style="446" customWidth="1"/>
    <col min="13581" max="13581" width="9.81640625" style="446" bestFit="1" customWidth="1"/>
    <col min="13582" max="13826" width="8.81640625" style="446"/>
    <col min="13827" max="13827" width="33.81640625" style="446" customWidth="1"/>
    <col min="13828" max="13828" width="14.81640625" style="446" customWidth="1"/>
    <col min="13829" max="13830" width="12.26953125" style="446" customWidth="1"/>
    <col min="13831" max="13831" width="10.54296875" style="446" customWidth="1"/>
    <col min="13832" max="13836" width="10.26953125" style="446" customWidth="1"/>
    <col min="13837" max="13837" width="9.81640625" style="446" bestFit="1" customWidth="1"/>
    <col min="13838" max="14082" width="8.81640625" style="446"/>
    <col min="14083" max="14083" width="33.81640625" style="446" customWidth="1"/>
    <col min="14084" max="14084" width="14.81640625" style="446" customWidth="1"/>
    <col min="14085" max="14086" width="12.26953125" style="446" customWidth="1"/>
    <col min="14087" max="14087" width="10.54296875" style="446" customWidth="1"/>
    <col min="14088" max="14092" width="10.26953125" style="446" customWidth="1"/>
    <col min="14093" max="14093" width="9.81640625" style="446" bestFit="1" customWidth="1"/>
    <col min="14094" max="14338" width="8.81640625" style="446"/>
    <col min="14339" max="14339" width="33.81640625" style="446" customWidth="1"/>
    <col min="14340" max="14340" width="14.81640625" style="446" customWidth="1"/>
    <col min="14341" max="14342" width="12.26953125" style="446" customWidth="1"/>
    <col min="14343" max="14343" width="10.54296875" style="446" customWidth="1"/>
    <col min="14344" max="14348" width="10.26953125" style="446" customWidth="1"/>
    <col min="14349" max="14349" width="9.81640625" style="446" bestFit="1" customWidth="1"/>
    <col min="14350" max="14594" width="8.81640625" style="446"/>
    <col min="14595" max="14595" width="33.81640625" style="446" customWidth="1"/>
    <col min="14596" max="14596" width="14.81640625" style="446" customWidth="1"/>
    <col min="14597" max="14598" width="12.26953125" style="446" customWidth="1"/>
    <col min="14599" max="14599" width="10.54296875" style="446" customWidth="1"/>
    <col min="14600" max="14604" width="10.26953125" style="446" customWidth="1"/>
    <col min="14605" max="14605" width="9.81640625" style="446" bestFit="1" customWidth="1"/>
    <col min="14606" max="14850" width="8.81640625" style="446"/>
    <col min="14851" max="14851" width="33.81640625" style="446" customWidth="1"/>
    <col min="14852" max="14852" width="14.81640625" style="446" customWidth="1"/>
    <col min="14853" max="14854" width="12.26953125" style="446" customWidth="1"/>
    <col min="14855" max="14855" width="10.54296875" style="446" customWidth="1"/>
    <col min="14856" max="14860" width="10.26953125" style="446" customWidth="1"/>
    <col min="14861" max="14861" width="9.81640625" style="446" bestFit="1" customWidth="1"/>
    <col min="14862" max="15106" width="8.81640625" style="446"/>
    <col min="15107" max="15107" width="33.81640625" style="446" customWidth="1"/>
    <col min="15108" max="15108" width="14.81640625" style="446" customWidth="1"/>
    <col min="15109" max="15110" width="12.26953125" style="446" customWidth="1"/>
    <col min="15111" max="15111" width="10.54296875" style="446" customWidth="1"/>
    <col min="15112" max="15116" width="10.26953125" style="446" customWidth="1"/>
    <col min="15117" max="15117" width="9.81640625" style="446" bestFit="1" customWidth="1"/>
    <col min="15118" max="15362" width="8.81640625" style="446"/>
    <col min="15363" max="15363" width="33.81640625" style="446" customWidth="1"/>
    <col min="15364" max="15364" width="14.81640625" style="446" customWidth="1"/>
    <col min="15365" max="15366" width="12.26953125" style="446" customWidth="1"/>
    <col min="15367" max="15367" width="10.54296875" style="446" customWidth="1"/>
    <col min="15368" max="15372" width="10.26953125" style="446" customWidth="1"/>
    <col min="15373" max="15373" width="9.81640625" style="446" bestFit="1" customWidth="1"/>
    <col min="15374" max="15618" width="8.81640625" style="446"/>
    <col min="15619" max="15619" width="33.81640625" style="446" customWidth="1"/>
    <col min="15620" max="15620" width="14.81640625" style="446" customWidth="1"/>
    <col min="15621" max="15622" width="12.26953125" style="446" customWidth="1"/>
    <col min="15623" max="15623" width="10.54296875" style="446" customWidth="1"/>
    <col min="15624" max="15628" width="10.26953125" style="446" customWidth="1"/>
    <col min="15629" max="15629" width="9.81640625" style="446" bestFit="1" customWidth="1"/>
    <col min="15630" max="15874" width="8.81640625" style="446"/>
    <col min="15875" max="15875" width="33.81640625" style="446" customWidth="1"/>
    <col min="15876" max="15876" width="14.81640625" style="446" customWidth="1"/>
    <col min="15877" max="15878" width="12.26953125" style="446" customWidth="1"/>
    <col min="15879" max="15879" width="10.54296875" style="446" customWidth="1"/>
    <col min="15880" max="15884" width="10.26953125" style="446" customWidth="1"/>
    <col min="15885" max="15885" width="9.81640625" style="446" bestFit="1" customWidth="1"/>
    <col min="15886" max="16130" width="8.81640625" style="446"/>
    <col min="16131" max="16131" width="33.81640625" style="446" customWidth="1"/>
    <col min="16132" max="16132" width="14.81640625" style="446" customWidth="1"/>
    <col min="16133" max="16134" width="12.26953125" style="446" customWidth="1"/>
    <col min="16135" max="16135" width="10.54296875" style="446" customWidth="1"/>
    <col min="16136" max="16140" width="10.26953125" style="446" customWidth="1"/>
    <col min="16141" max="16141" width="9.81640625" style="446" bestFit="1" customWidth="1"/>
    <col min="16142" max="16384" width="8.81640625" style="446"/>
  </cols>
  <sheetData>
    <row r="1" spans="1:13" ht="54.75" customHeight="1">
      <c r="A1" s="725" t="s">
        <v>388</v>
      </c>
      <c r="B1" s="726"/>
      <c r="C1" s="726"/>
      <c r="D1" s="726"/>
      <c r="E1" s="726"/>
      <c r="F1" s="726"/>
      <c r="G1" s="726"/>
      <c r="H1" s="726"/>
      <c r="I1" s="726"/>
      <c r="J1" s="726"/>
      <c r="K1" s="726"/>
      <c r="L1" s="726"/>
    </row>
    <row r="2" spans="1:13" ht="4.5" customHeight="1">
      <c r="C2" s="479"/>
      <c r="D2" s="480"/>
      <c r="E2" s="480"/>
      <c r="F2" s="480"/>
      <c r="G2" s="480"/>
      <c r="H2" s="480"/>
      <c r="I2" s="480"/>
      <c r="J2" s="480"/>
      <c r="K2" s="480"/>
    </row>
    <row r="3" spans="1:13" ht="18">
      <c r="A3" s="727" t="s">
        <v>352</v>
      </c>
      <c r="B3" s="728"/>
      <c r="C3" s="729"/>
      <c r="D3" s="730">
        <f>'[1]Mix Description'!D2:P2</f>
        <v>0</v>
      </c>
      <c r="E3" s="731"/>
      <c r="F3" s="731"/>
      <c r="G3" s="731"/>
      <c r="H3" s="731"/>
      <c r="I3" s="731"/>
      <c r="J3" s="731"/>
      <c r="K3" s="731"/>
      <c r="L3" s="732"/>
    </row>
    <row r="4" spans="1:13" ht="3.75" customHeight="1">
      <c r="A4" s="481"/>
      <c r="B4" s="481"/>
      <c r="C4" s="481"/>
      <c r="D4" s="482"/>
      <c r="E4" s="482"/>
      <c r="F4" s="482"/>
      <c r="G4" s="482"/>
      <c r="H4" s="482"/>
      <c r="I4" s="482"/>
      <c r="J4" s="482"/>
      <c r="K4" s="482"/>
      <c r="L4" s="482"/>
    </row>
    <row r="5" spans="1:13" ht="18" customHeight="1">
      <c r="A5" s="727" t="s">
        <v>238</v>
      </c>
      <c r="B5" s="728"/>
      <c r="C5" s="729"/>
      <c r="D5" s="733">
        <f>'[1]Mix Description'!D4:P4</f>
        <v>0</v>
      </c>
      <c r="E5" s="734"/>
      <c r="F5" s="734"/>
      <c r="G5" s="734"/>
      <c r="H5" s="734"/>
      <c r="I5" s="734"/>
      <c r="J5" s="734"/>
      <c r="K5" s="734"/>
      <c r="L5" s="735"/>
    </row>
    <row r="6" spans="1:13" ht="3.75" customHeight="1">
      <c r="A6" s="481"/>
      <c r="B6" s="481"/>
      <c r="C6" s="481"/>
      <c r="D6" s="482"/>
      <c r="E6" s="482"/>
      <c r="F6" s="482"/>
      <c r="G6" s="482"/>
      <c r="H6" s="482"/>
      <c r="I6" s="482"/>
      <c r="J6" s="482"/>
      <c r="K6" s="482"/>
      <c r="L6" s="482"/>
    </row>
    <row r="7" spans="1:13" ht="18">
      <c r="A7" s="736" t="s">
        <v>353</v>
      </c>
      <c r="B7" s="737"/>
      <c r="C7" s="738"/>
      <c r="D7" s="739"/>
      <c r="E7" s="740"/>
      <c r="F7" s="740"/>
      <c r="G7" s="740"/>
      <c r="H7" s="740"/>
      <c r="I7" s="740"/>
      <c r="J7" s="740"/>
      <c r="K7" s="740"/>
      <c r="L7" s="741"/>
    </row>
    <row r="8" spans="1:13" ht="3" customHeight="1">
      <c r="A8" s="483"/>
      <c r="B8" s="483"/>
      <c r="C8" s="483"/>
      <c r="D8" s="484"/>
      <c r="E8" s="484"/>
      <c r="F8" s="484"/>
      <c r="G8" s="484"/>
      <c r="H8" s="521"/>
      <c r="I8" s="521"/>
      <c r="J8" s="521"/>
      <c r="K8" s="521"/>
      <c r="L8" s="521"/>
    </row>
    <row r="9" spans="1:13" ht="18">
      <c r="A9" s="736" t="s">
        <v>354</v>
      </c>
      <c r="B9" s="737"/>
      <c r="C9" s="738"/>
      <c r="D9" s="742"/>
      <c r="E9" s="743"/>
      <c r="F9" s="743"/>
      <c r="G9" s="743"/>
      <c r="H9" s="743"/>
      <c r="I9" s="743"/>
      <c r="J9" s="743"/>
      <c r="K9" s="743"/>
      <c r="L9" s="744"/>
    </row>
    <row r="10" spans="1:13" ht="3.75" customHeight="1">
      <c r="A10" s="485"/>
      <c r="B10" s="485"/>
      <c r="C10" s="485"/>
      <c r="D10" s="521"/>
      <c r="E10" s="521"/>
      <c r="F10" s="521"/>
      <c r="G10" s="521"/>
      <c r="H10" s="521"/>
      <c r="I10" s="521"/>
      <c r="J10" s="521"/>
      <c r="K10" s="521"/>
      <c r="L10" s="521"/>
    </row>
    <row r="11" spans="1:13" ht="18">
      <c r="A11" s="736" t="s">
        <v>355</v>
      </c>
      <c r="B11" s="737"/>
      <c r="C11" s="738"/>
      <c r="D11" s="742"/>
      <c r="E11" s="743"/>
      <c r="F11" s="743"/>
      <c r="G11" s="743"/>
      <c r="H11" s="743"/>
      <c r="I11" s="743"/>
      <c r="J11" s="743"/>
      <c r="K11" s="743"/>
      <c r="L11" s="744"/>
    </row>
    <row r="12" spans="1:13" ht="9" customHeight="1">
      <c r="A12" s="486"/>
      <c r="B12" s="486"/>
      <c r="C12" s="486"/>
      <c r="D12" s="486"/>
      <c r="E12" s="486"/>
      <c r="F12" s="486"/>
      <c r="G12" s="486"/>
      <c r="H12" s="486"/>
      <c r="I12" s="486"/>
      <c r="J12" s="486"/>
      <c r="K12" s="486"/>
      <c r="L12" s="486"/>
    </row>
    <row r="13" spans="1:13" ht="21" customHeight="1">
      <c r="A13" s="521"/>
      <c r="B13" s="521"/>
      <c r="C13" s="521"/>
      <c r="D13" s="487" t="s">
        <v>68</v>
      </c>
      <c r="E13" s="745" t="s">
        <v>356</v>
      </c>
      <c r="F13" s="745"/>
      <c r="G13" s="745"/>
      <c r="H13" s="745"/>
      <c r="I13" s="745"/>
      <c r="J13" s="745"/>
      <c r="K13" s="745"/>
      <c r="L13" s="745"/>
    </row>
    <row r="14" spans="1:13" s="493" customFormat="1" ht="38.25" customHeight="1">
      <c r="A14" s="722" t="s">
        <v>357</v>
      </c>
      <c r="B14" s="723"/>
      <c r="C14" s="724"/>
      <c r="D14" s="488" t="s">
        <v>28</v>
      </c>
      <c r="E14" s="489" t="s">
        <v>358</v>
      </c>
      <c r="F14" s="488" t="s">
        <v>3</v>
      </c>
      <c r="G14" s="488" t="s">
        <v>6</v>
      </c>
      <c r="H14" s="490" t="s">
        <v>359</v>
      </c>
      <c r="I14" s="491" t="s">
        <v>360</v>
      </c>
      <c r="J14" s="488" t="s">
        <v>361</v>
      </c>
      <c r="K14" s="488" t="s">
        <v>362</v>
      </c>
      <c r="L14" s="492" t="s">
        <v>363</v>
      </c>
    </row>
    <row r="15" spans="1:13" s="493" customFormat="1" ht="20">
      <c r="A15" s="748"/>
      <c r="B15" s="749"/>
      <c r="C15" s="750"/>
      <c r="D15" s="494"/>
      <c r="E15" s="495"/>
      <c r="F15" s="495"/>
      <c r="G15" s="495"/>
      <c r="H15" s="495"/>
      <c r="I15" s="495"/>
      <c r="J15" s="495"/>
      <c r="K15" s="495"/>
      <c r="L15" s="495"/>
      <c r="M15" s="496"/>
    </row>
    <row r="16" spans="1:13" s="493" customFormat="1" ht="20">
      <c r="A16" s="748"/>
      <c r="B16" s="749"/>
      <c r="C16" s="750"/>
      <c r="D16" s="497"/>
      <c r="E16" s="495"/>
      <c r="F16" s="495"/>
      <c r="G16" s="495"/>
      <c r="H16" s="495"/>
      <c r="I16" s="495"/>
      <c r="J16" s="495"/>
      <c r="K16" s="495"/>
      <c r="L16" s="495"/>
      <c r="M16" s="496"/>
    </row>
    <row r="17" spans="1:15" ht="20">
      <c r="A17" s="748"/>
      <c r="B17" s="749"/>
      <c r="C17" s="750"/>
      <c r="D17" s="494"/>
      <c r="E17" s="495"/>
      <c r="F17" s="495"/>
      <c r="G17" s="495"/>
      <c r="H17" s="495"/>
      <c r="I17" s="495"/>
      <c r="J17" s="495"/>
      <c r="K17" s="495"/>
      <c r="L17" s="495"/>
      <c r="M17" s="496"/>
    </row>
    <row r="18" spans="1:15" ht="20">
      <c r="A18" s="748"/>
      <c r="B18" s="749"/>
      <c r="C18" s="750"/>
      <c r="D18" s="497"/>
      <c r="E18" s="495"/>
      <c r="F18" s="495"/>
      <c r="G18" s="495"/>
      <c r="H18" s="495"/>
      <c r="I18" s="495"/>
      <c r="J18" s="495"/>
      <c r="K18" s="495"/>
      <c r="L18" s="495"/>
      <c r="M18" s="496"/>
    </row>
    <row r="19" spans="1:15" ht="20">
      <c r="A19" s="748"/>
      <c r="B19" s="749"/>
      <c r="C19" s="750"/>
      <c r="D19" s="497"/>
      <c r="E19" s="495"/>
      <c r="F19" s="495"/>
      <c r="G19" s="495"/>
      <c r="H19" s="495"/>
      <c r="I19" s="495"/>
      <c r="J19" s="495"/>
      <c r="K19" s="495"/>
      <c r="L19" s="495"/>
    </row>
    <row r="20" spans="1:15" ht="21" customHeight="1">
      <c r="A20" s="751"/>
      <c r="B20" s="752"/>
      <c r="C20" s="753"/>
      <c r="D20" s="498"/>
      <c r="E20" s="499"/>
      <c r="F20" s="499"/>
      <c r="G20" s="499"/>
      <c r="H20" s="499"/>
      <c r="I20" s="499"/>
      <c r="J20" s="499"/>
      <c r="K20" s="499"/>
      <c r="L20" s="499"/>
    </row>
    <row r="21" spans="1:15" ht="20.25" customHeight="1">
      <c r="A21" s="751"/>
      <c r="B21" s="752"/>
      <c r="C21" s="753"/>
      <c r="D21" s="498"/>
      <c r="E21" s="499"/>
      <c r="F21" s="499"/>
      <c r="G21" s="499"/>
      <c r="H21" s="499"/>
      <c r="I21" s="499"/>
      <c r="J21" s="499"/>
      <c r="K21" s="499"/>
      <c r="L21" s="499"/>
    </row>
    <row r="22" spans="1:15" s="493" customFormat="1" ht="22.5" customHeight="1">
      <c r="A22" s="754"/>
      <c r="B22" s="755"/>
      <c r="C22" s="756"/>
      <c r="D22" s="500"/>
      <c r="E22" s="501"/>
      <c r="F22" s="501"/>
      <c r="G22" s="501"/>
      <c r="H22" s="501"/>
      <c r="I22" s="501"/>
      <c r="J22" s="501"/>
      <c r="K22" s="501"/>
      <c r="L22" s="501"/>
      <c r="O22" s="502"/>
    </row>
    <row r="23" spans="1:15" s="493" customFormat="1" ht="22.5" customHeight="1">
      <c r="A23" s="757"/>
      <c r="B23" s="758"/>
      <c r="C23" s="759"/>
      <c r="D23" s="503"/>
      <c r="E23" s="504"/>
      <c r="F23" s="504"/>
      <c r="G23" s="504"/>
      <c r="H23" s="504"/>
      <c r="I23" s="504"/>
      <c r="J23" s="504"/>
      <c r="K23" s="504"/>
      <c r="L23" s="504"/>
    </row>
    <row r="24" spans="1:15" ht="15.75" customHeight="1">
      <c r="A24" s="746"/>
      <c r="B24" s="746"/>
      <c r="C24" s="746"/>
      <c r="D24" s="760" t="str">
        <f>IF(D15+D16+D17+D18+D19+D21+D20+D22+D23=100, "100%", "&lt;==&gt; (Blend Does Not Total 100%)")</f>
        <v>&lt;==&gt; (Blend Does Not Total 100%)</v>
      </c>
      <c r="E24" s="760"/>
      <c r="F24" s="760"/>
      <c r="G24" s="761"/>
      <c r="H24" s="762"/>
      <c r="I24" s="746"/>
      <c r="J24" s="746"/>
      <c r="K24" s="746"/>
      <c r="L24" s="746"/>
    </row>
    <row r="25" spans="1:15" ht="14.25" customHeight="1" thickBot="1">
      <c r="A25" s="747"/>
      <c r="B25" s="747"/>
      <c r="C25" s="747"/>
      <c r="D25" s="763"/>
      <c r="E25" s="763"/>
      <c r="F25" s="763"/>
      <c r="G25" s="764"/>
      <c r="H25" s="765"/>
      <c r="I25" s="747"/>
      <c r="J25" s="747"/>
      <c r="K25" s="747"/>
      <c r="L25" s="747"/>
    </row>
    <row r="26" spans="1:15" ht="21" hidden="1" customHeight="1" thickBot="1">
      <c r="A26" s="767" t="s">
        <v>364</v>
      </c>
      <c r="B26" s="768"/>
      <c r="C26" s="769"/>
      <c r="D26" s="505" t="s">
        <v>28</v>
      </c>
      <c r="E26" s="770" t="s">
        <v>365</v>
      </c>
      <c r="F26" s="771"/>
      <c r="G26" s="771"/>
      <c r="H26" s="771"/>
      <c r="I26" s="771"/>
      <c r="J26" s="771"/>
      <c r="K26" s="771"/>
      <c r="L26" s="772"/>
    </row>
    <row r="27" spans="1:15" s="509" customFormat="1" ht="18" hidden="1" thickBot="1">
      <c r="A27" s="773">
        <f t="shared" ref="A27:A35" si="0">A15</f>
        <v>0</v>
      </c>
      <c r="B27" s="774"/>
      <c r="C27" s="775"/>
      <c r="D27" s="506">
        <f t="shared" ref="D27:D35" si="1">D15</f>
        <v>0</v>
      </c>
      <c r="E27" s="507">
        <f>(0.01*$D$15)*E15</f>
        <v>0</v>
      </c>
      <c r="F27" s="507">
        <f>(0.01*$D$15)*F15</f>
        <v>0</v>
      </c>
      <c r="G27" s="508">
        <f>(0.01*D15)*G15</f>
        <v>0</v>
      </c>
      <c r="H27" s="508">
        <f>(0.01*D15)*H15</f>
        <v>0</v>
      </c>
      <c r="I27" s="508">
        <f>(0.01*D15)*I15</f>
        <v>0</v>
      </c>
      <c r="J27" s="508">
        <f>(0.01*D15)*J15</f>
        <v>0</v>
      </c>
      <c r="K27" s="508">
        <f>(0.01*D15)*K15</f>
        <v>0</v>
      </c>
      <c r="L27" s="508">
        <f>(0.01*D15)*L15</f>
        <v>0</v>
      </c>
    </row>
    <row r="28" spans="1:15" s="509" customFormat="1" ht="18" hidden="1" thickBot="1">
      <c r="A28" s="773">
        <f t="shared" si="0"/>
        <v>0</v>
      </c>
      <c r="B28" s="774"/>
      <c r="C28" s="775"/>
      <c r="D28" s="506">
        <f t="shared" si="1"/>
        <v>0</v>
      </c>
      <c r="E28" s="507">
        <f>(0.01*$D$16)*E16</f>
        <v>0</v>
      </c>
      <c r="F28" s="507">
        <f>(0.01*$D$16)*F16</f>
        <v>0</v>
      </c>
      <c r="G28" s="508">
        <f>(0.01*D16)*G16</f>
        <v>0</v>
      </c>
      <c r="H28" s="508">
        <f>(0.01*D16)*H16</f>
        <v>0</v>
      </c>
      <c r="I28" s="508">
        <f>(0.01*D16)*I16</f>
        <v>0</v>
      </c>
      <c r="J28" s="508">
        <f>(0.01*D16)*J16</f>
        <v>0</v>
      </c>
      <c r="K28" s="507">
        <f>(0.01*D16)*K16</f>
        <v>0</v>
      </c>
      <c r="L28" s="507">
        <f>(0.01*D16)*L16</f>
        <v>0</v>
      </c>
    </row>
    <row r="29" spans="1:15" s="509" customFormat="1" ht="18" hidden="1" thickBot="1">
      <c r="A29" s="773">
        <f t="shared" si="0"/>
        <v>0</v>
      </c>
      <c r="B29" s="774"/>
      <c r="C29" s="775"/>
      <c r="D29" s="506">
        <f t="shared" si="1"/>
        <v>0</v>
      </c>
      <c r="E29" s="507">
        <f t="shared" ref="E29:L29" si="2">(0.01*$D$17)*E17</f>
        <v>0</v>
      </c>
      <c r="F29" s="507">
        <f t="shared" si="2"/>
        <v>0</v>
      </c>
      <c r="G29" s="507">
        <f t="shared" si="2"/>
        <v>0</v>
      </c>
      <c r="H29" s="507">
        <f t="shared" si="2"/>
        <v>0</v>
      </c>
      <c r="I29" s="507">
        <f t="shared" si="2"/>
        <v>0</v>
      </c>
      <c r="J29" s="507">
        <f t="shared" si="2"/>
        <v>0</v>
      </c>
      <c r="K29" s="507">
        <f t="shared" si="2"/>
        <v>0</v>
      </c>
      <c r="L29" s="507">
        <f t="shared" si="2"/>
        <v>0</v>
      </c>
    </row>
    <row r="30" spans="1:15" s="449" customFormat="1" ht="18" hidden="1" thickBot="1">
      <c r="A30" s="776">
        <f t="shared" si="0"/>
        <v>0</v>
      </c>
      <c r="B30" s="777"/>
      <c r="C30" s="778"/>
      <c r="D30" s="510">
        <f t="shared" si="1"/>
        <v>0</v>
      </c>
      <c r="E30" s="507">
        <f t="shared" ref="E30:L30" si="3">(0.01*$D$18)*E18</f>
        <v>0</v>
      </c>
      <c r="F30" s="507">
        <f t="shared" si="3"/>
        <v>0</v>
      </c>
      <c r="G30" s="507">
        <f t="shared" si="3"/>
        <v>0</v>
      </c>
      <c r="H30" s="507">
        <f t="shared" si="3"/>
        <v>0</v>
      </c>
      <c r="I30" s="507">
        <f t="shared" si="3"/>
        <v>0</v>
      </c>
      <c r="J30" s="507">
        <f t="shared" si="3"/>
        <v>0</v>
      </c>
      <c r="K30" s="507">
        <f t="shared" si="3"/>
        <v>0</v>
      </c>
      <c r="L30" s="507">
        <f t="shared" si="3"/>
        <v>0</v>
      </c>
    </row>
    <row r="31" spans="1:15" s="449" customFormat="1" ht="18" hidden="1" thickBot="1">
      <c r="A31" s="776">
        <f t="shared" si="0"/>
        <v>0</v>
      </c>
      <c r="B31" s="777"/>
      <c r="C31" s="778"/>
      <c r="D31" s="510">
        <f t="shared" si="1"/>
        <v>0</v>
      </c>
      <c r="E31" s="507">
        <f t="shared" ref="E31:L31" si="4">(0.01*$D19)*E19</f>
        <v>0</v>
      </c>
      <c r="F31" s="507">
        <f t="shared" si="4"/>
        <v>0</v>
      </c>
      <c r="G31" s="507">
        <f t="shared" si="4"/>
        <v>0</v>
      </c>
      <c r="H31" s="507">
        <f t="shared" si="4"/>
        <v>0</v>
      </c>
      <c r="I31" s="507">
        <f t="shared" si="4"/>
        <v>0</v>
      </c>
      <c r="J31" s="507">
        <f t="shared" si="4"/>
        <v>0</v>
      </c>
      <c r="K31" s="507">
        <f t="shared" si="4"/>
        <v>0</v>
      </c>
      <c r="L31" s="507">
        <f t="shared" si="4"/>
        <v>0</v>
      </c>
    </row>
    <row r="32" spans="1:15" s="449" customFormat="1" ht="21" hidden="1" customHeight="1" thickBot="1">
      <c r="A32" s="776">
        <f t="shared" si="0"/>
        <v>0</v>
      </c>
      <c r="B32" s="777"/>
      <c r="C32" s="778"/>
      <c r="D32" s="510">
        <f t="shared" si="1"/>
        <v>0</v>
      </c>
      <c r="E32" s="507">
        <f t="shared" ref="E32:L32" si="5">(0.01*$D$20)*E20</f>
        <v>0</v>
      </c>
      <c r="F32" s="507">
        <f t="shared" si="5"/>
        <v>0</v>
      </c>
      <c r="G32" s="507">
        <f t="shared" si="5"/>
        <v>0</v>
      </c>
      <c r="H32" s="507">
        <f t="shared" si="5"/>
        <v>0</v>
      </c>
      <c r="I32" s="507">
        <f t="shared" si="5"/>
        <v>0</v>
      </c>
      <c r="J32" s="507">
        <f t="shared" si="5"/>
        <v>0</v>
      </c>
      <c r="K32" s="507">
        <f t="shared" si="5"/>
        <v>0</v>
      </c>
      <c r="L32" s="507">
        <f t="shared" si="5"/>
        <v>0</v>
      </c>
    </row>
    <row r="33" spans="1:13" s="449" customFormat="1" ht="21" hidden="1" customHeight="1" thickBot="1">
      <c r="A33" s="776">
        <f t="shared" si="0"/>
        <v>0</v>
      </c>
      <c r="B33" s="777"/>
      <c r="C33" s="778"/>
      <c r="D33" s="510">
        <f t="shared" si="1"/>
        <v>0</v>
      </c>
      <c r="E33" s="507">
        <f t="shared" ref="E33:L33" si="6">(0.01*$D$21)*E21</f>
        <v>0</v>
      </c>
      <c r="F33" s="507">
        <f t="shared" si="6"/>
        <v>0</v>
      </c>
      <c r="G33" s="507">
        <f t="shared" si="6"/>
        <v>0</v>
      </c>
      <c r="H33" s="507">
        <f t="shared" si="6"/>
        <v>0</v>
      </c>
      <c r="I33" s="507">
        <f t="shared" si="6"/>
        <v>0</v>
      </c>
      <c r="J33" s="507">
        <f t="shared" si="6"/>
        <v>0</v>
      </c>
      <c r="K33" s="507">
        <f t="shared" si="6"/>
        <v>0</v>
      </c>
      <c r="L33" s="507">
        <f t="shared" si="6"/>
        <v>0</v>
      </c>
    </row>
    <row r="34" spans="1:13" s="509" customFormat="1" ht="21" hidden="1" customHeight="1" thickBot="1">
      <c r="A34" s="773">
        <f t="shared" si="0"/>
        <v>0</v>
      </c>
      <c r="B34" s="774"/>
      <c r="C34" s="775"/>
      <c r="D34" s="506">
        <f t="shared" si="1"/>
        <v>0</v>
      </c>
      <c r="E34" s="507">
        <f t="shared" ref="E34:L34" si="7">(0.01*$D$22)*E22</f>
        <v>0</v>
      </c>
      <c r="F34" s="507">
        <f t="shared" si="7"/>
        <v>0</v>
      </c>
      <c r="G34" s="507">
        <f t="shared" si="7"/>
        <v>0</v>
      </c>
      <c r="H34" s="507">
        <f t="shared" si="7"/>
        <v>0</v>
      </c>
      <c r="I34" s="507">
        <f t="shared" si="7"/>
        <v>0</v>
      </c>
      <c r="J34" s="507">
        <f t="shared" si="7"/>
        <v>0</v>
      </c>
      <c r="K34" s="507">
        <f t="shared" si="7"/>
        <v>0</v>
      </c>
      <c r="L34" s="507">
        <f t="shared" si="7"/>
        <v>0</v>
      </c>
    </row>
    <row r="35" spans="1:13" s="509" customFormat="1" ht="21" hidden="1" customHeight="1" thickBot="1">
      <c r="A35" s="773">
        <f t="shared" si="0"/>
        <v>0</v>
      </c>
      <c r="B35" s="774"/>
      <c r="C35" s="775"/>
      <c r="D35" s="506">
        <f t="shared" si="1"/>
        <v>0</v>
      </c>
      <c r="E35" s="507">
        <f t="shared" ref="E35:L35" si="8">(0.01*$D$23)*E23</f>
        <v>0</v>
      </c>
      <c r="F35" s="507">
        <f t="shared" si="8"/>
        <v>0</v>
      </c>
      <c r="G35" s="507">
        <f t="shared" si="8"/>
        <v>0</v>
      </c>
      <c r="H35" s="507">
        <f t="shared" si="8"/>
        <v>0</v>
      </c>
      <c r="I35" s="507">
        <f t="shared" si="8"/>
        <v>0</v>
      </c>
      <c r="J35" s="507">
        <f t="shared" si="8"/>
        <v>0</v>
      </c>
      <c r="K35" s="507">
        <f t="shared" si="8"/>
        <v>0</v>
      </c>
      <c r="L35" s="507">
        <f t="shared" si="8"/>
        <v>0</v>
      </c>
    </row>
    <row r="36" spans="1:13" s="513" customFormat="1" ht="23.25" hidden="1" customHeight="1">
      <c r="A36" s="766" t="s">
        <v>366</v>
      </c>
      <c r="B36" s="766"/>
      <c r="C36" s="766"/>
      <c r="D36" s="766"/>
      <c r="E36" s="511">
        <f t="shared" ref="E36:L36" si="9">SUM(E27:E35)</f>
        <v>0</v>
      </c>
      <c r="F36" s="511">
        <f t="shared" si="9"/>
        <v>0</v>
      </c>
      <c r="G36" s="511">
        <f t="shared" si="9"/>
        <v>0</v>
      </c>
      <c r="H36" s="511">
        <f t="shared" si="9"/>
        <v>0</v>
      </c>
      <c r="I36" s="511">
        <f t="shared" si="9"/>
        <v>0</v>
      </c>
      <c r="J36" s="511">
        <f t="shared" si="9"/>
        <v>0</v>
      </c>
      <c r="K36" s="511">
        <f t="shared" si="9"/>
        <v>0</v>
      </c>
      <c r="L36" s="511">
        <f t="shared" si="9"/>
        <v>0</v>
      </c>
      <c r="M36" s="512">
        <f>SUM(E36:L36)</f>
        <v>0</v>
      </c>
    </row>
    <row r="37" spans="1:13" s="513" customFormat="1" ht="24.75" hidden="1" customHeight="1" thickBot="1">
      <c r="A37" s="781" t="s">
        <v>367</v>
      </c>
      <c r="B37" s="781"/>
      <c r="C37" s="781"/>
      <c r="D37" s="781"/>
      <c r="E37" s="514">
        <f>100-E36</f>
        <v>100</v>
      </c>
      <c r="F37" s="514">
        <f t="shared" ref="F37:L37" si="10">E36-F36</f>
        <v>0</v>
      </c>
      <c r="G37" s="514">
        <f t="shared" si="10"/>
        <v>0</v>
      </c>
      <c r="H37" s="514">
        <f t="shared" si="10"/>
        <v>0</v>
      </c>
      <c r="I37" s="514">
        <f t="shared" si="10"/>
        <v>0</v>
      </c>
      <c r="J37" s="514">
        <f t="shared" si="10"/>
        <v>0</v>
      </c>
      <c r="K37" s="514">
        <f t="shared" si="10"/>
        <v>0</v>
      </c>
      <c r="L37" s="514">
        <f t="shared" si="10"/>
        <v>0</v>
      </c>
      <c r="M37" s="515">
        <f>SUM(E37:L37)</f>
        <v>100</v>
      </c>
    </row>
    <row r="38" spans="1:13" s="513" customFormat="1" ht="21" customHeight="1" thickTop="1" thickBot="1">
      <c r="A38" s="782" t="s">
        <v>356</v>
      </c>
      <c r="B38" s="782"/>
      <c r="C38" s="782"/>
      <c r="D38" s="782"/>
      <c r="E38" s="516" t="s">
        <v>358</v>
      </c>
      <c r="F38" s="516" t="s">
        <v>368</v>
      </c>
      <c r="G38" s="517" t="s">
        <v>6</v>
      </c>
      <c r="H38" s="518" t="s">
        <v>2</v>
      </c>
      <c r="I38" s="518" t="s">
        <v>369</v>
      </c>
      <c r="J38" s="517" t="s">
        <v>8</v>
      </c>
      <c r="K38" s="517" t="s">
        <v>9</v>
      </c>
      <c r="L38" s="517" t="s">
        <v>12</v>
      </c>
    </row>
    <row r="39" spans="1:13" s="513" customFormat="1" ht="24.75" customHeight="1" thickTop="1" thickBot="1">
      <c r="A39" s="783" t="s">
        <v>370</v>
      </c>
      <c r="B39" s="784"/>
      <c r="C39" s="784"/>
      <c r="D39" s="784"/>
      <c r="E39" s="519">
        <v>100</v>
      </c>
      <c r="F39" s="519">
        <v>100</v>
      </c>
      <c r="G39" s="519">
        <v>98</v>
      </c>
      <c r="H39" s="519">
        <v>70</v>
      </c>
      <c r="I39" s="519">
        <v>50</v>
      </c>
      <c r="J39" s="519">
        <v>30</v>
      </c>
      <c r="K39" s="519">
        <v>12</v>
      </c>
      <c r="L39" s="519">
        <v>3</v>
      </c>
    </row>
    <row r="40" spans="1:13" s="513" customFormat="1" ht="24.75" customHeight="1" thickTop="1" thickBot="1">
      <c r="A40" s="785" t="s">
        <v>371</v>
      </c>
      <c r="B40" s="786"/>
      <c r="C40" s="786"/>
      <c r="D40" s="786"/>
      <c r="E40" s="635">
        <f>E36</f>
        <v>0</v>
      </c>
      <c r="F40" s="635">
        <f>F36</f>
        <v>0</v>
      </c>
      <c r="G40" s="635">
        <f t="shared" ref="G40:L40" si="11">G36</f>
        <v>0</v>
      </c>
      <c r="H40" s="635">
        <f t="shared" si="11"/>
        <v>0</v>
      </c>
      <c r="I40" s="635">
        <f t="shared" si="11"/>
        <v>0</v>
      </c>
      <c r="J40" s="635">
        <f t="shared" si="11"/>
        <v>0</v>
      </c>
      <c r="K40" s="635">
        <f t="shared" si="11"/>
        <v>0</v>
      </c>
      <c r="L40" s="636">
        <f t="shared" si="11"/>
        <v>0</v>
      </c>
    </row>
    <row r="41" spans="1:13" s="513" customFormat="1" ht="24.75" customHeight="1" thickTop="1" thickBot="1">
      <c r="A41" s="783" t="s">
        <v>372</v>
      </c>
      <c r="B41" s="784"/>
      <c r="C41" s="784"/>
      <c r="D41" s="784"/>
      <c r="E41" s="519">
        <v>100</v>
      </c>
      <c r="F41" s="519">
        <v>84</v>
      </c>
      <c r="G41" s="519">
        <v>64</v>
      </c>
      <c r="H41" s="519">
        <v>6</v>
      </c>
      <c r="I41" s="519">
        <v>2</v>
      </c>
      <c r="J41" s="519">
        <v>2</v>
      </c>
      <c r="K41" s="519">
        <v>2</v>
      </c>
      <c r="L41" s="519">
        <v>0</v>
      </c>
    </row>
    <row r="42" spans="1:13" ht="18" thickTop="1">
      <c r="A42" s="449"/>
      <c r="B42" s="520"/>
      <c r="C42" s="787"/>
      <c r="D42" s="787"/>
      <c r="E42" s="787"/>
      <c r="F42" s="787"/>
      <c r="G42" s="787"/>
      <c r="H42" s="787"/>
      <c r="I42" s="787"/>
      <c r="J42" s="787"/>
      <c r="K42" s="787"/>
      <c r="L42" s="787"/>
    </row>
    <row r="43" spans="1:13" ht="17.5">
      <c r="A43" s="449"/>
      <c r="B43" s="449"/>
      <c r="C43" s="449"/>
      <c r="D43" s="449"/>
      <c r="E43" s="449"/>
      <c r="F43" s="449"/>
      <c r="L43" s="449"/>
    </row>
    <row r="44" spans="1:13" ht="20">
      <c r="A44" s="779"/>
      <c r="B44" s="779"/>
      <c r="C44" s="779"/>
      <c r="D44" s="779"/>
      <c r="E44" s="779"/>
      <c r="F44" s="779"/>
      <c r="G44" s="779"/>
      <c r="H44" s="779"/>
      <c r="I44" s="779"/>
      <c r="J44" s="779"/>
      <c r="K44" s="779"/>
      <c r="L44" s="779"/>
      <c r="M44" s="779"/>
    </row>
    <row r="45" spans="1:13" ht="20">
      <c r="A45" s="449"/>
      <c r="B45" s="509"/>
      <c r="C45" s="522"/>
      <c r="D45" s="523"/>
      <c r="E45" s="523"/>
      <c r="F45" s="523"/>
      <c r="G45" s="524"/>
      <c r="H45" s="524"/>
      <c r="I45" s="524"/>
      <c r="J45" s="524"/>
      <c r="K45" s="524"/>
      <c r="L45" s="524"/>
    </row>
    <row r="46" spans="1:13" ht="20">
      <c r="A46" s="449"/>
      <c r="B46" s="509"/>
      <c r="C46" s="780"/>
      <c r="D46" s="780"/>
      <c r="E46" s="525"/>
      <c r="F46" s="525"/>
      <c r="G46" s="526"/>
      <c r="H46" s="524"/>
      <c r="I46" s="524"/>
      <c r="J46" s="524"/>
      <c r="K46" s="524"/>
      <c r="L46" s="524"/>
    </row>
    <row r="47" spans="1:13" ht="17.5">
      <c r="A47" s="449"/>
      <c r="B47" s="509"/>
      <c r="C47" s="449"/>
      <c r="D47" s="449"/>
      <c r="E47" s="449"/>
      <c r="F47" s="449"/>
      <c r="G47" s="527"/>
      <c r="H47" s="527"/>
      <c r="I47" s="527"/>
      <c r="J47" s="520"/>
      <c r="K47" s="520"/>
      <c r="L47" s="520"/>
    </row>
    <row r="48" spans="1:13" ht="17.5">
      <c r="A48" s="449"/>
      <c r="B48" s="449"/>
      <c r="C48" s="449"/>
      <c r="D48" s="449"/>
      <c r="E48" s="449"/>
      <c r="F48" s="449"/>
      <c r="G48" s="449"/>
      <c r="H48" s="520"/>
      <c r="I48" s="520"/>
      <c r="J48" s="528"/>
      <c r="K48" s="528"/>
      <c r="L48" s="528"/>
    </row>
  </sheetData>
  <sheetProtection algorithmName="SHA-512" hashValue="oUn1H7+t45KEUTWkNB2XQsHhIENIjZ0MH+PdYiM3WddfF8le87IRhCz0TxP/sc+uqkdlKFpACOCbJmJwwDnKww==" saltValue="5cZraNg1JAZQhZESC98soQ==" spinCount="100000" sheet="1" objects="1" scenarios="1"/>
  <mergeCells count="45">
    <mergeCell ref="A44:M44"/>
    <mergeCell ref="C46:D46"/>
    <mergeCell ref="A37:D37"/>
    <mergeCell ref="A38:D38"/>
    <mergeCell ref="A39:D39"/>
    <mergeCell ref="A40:D40"/>
    <mergeCell ref="A41:D41"/>
    <mergeCell ref="C42:L42"/>
    <mergeCell ref="A36:D36"/>
    <mergeCell ref="A26:C26"/>
    <mergeCell ref="E26:L26"/>
    <mergeCell ref="A27:C27"/>
    <mergeCell ref="A28:C28"/>
    <mergeCell ref="A29:C29"/>
    <mergeCell ref="A30:C30"/>
    <mergeCell ref="A31:C31"/>
    <mergeCell ref="A32:C32"/>
    <mergeCell ref="A33:C33"/>
    <mergeCell ref="A34:C34"/>
    <mergeCell ref="A35:C35"/>
    <mergeCell ref="I24:L25"/>
    <mergeCell ref="A15:C15"/>
    <mergeCell ref="A16:C16"/>
    <mergeCell ref="A17:C17"/>
    <mergeCell ref="A18:C18"/>
    <mergeCell ref="A19:C19"/>
    <mergeCell ref="A20:C20"/>
    <mergeCell ref="A21:C21"/>
    <mergeCell ref="A22:C22"/>
    <mergeCell ref="A23:C23"/>
    <mergeCell ref="A24:C25"/>
    <mergeCell ref="D24:H25"/>
    <mergeCell ref="A14:C14"/>
    <mergeCell ref="A1:L1"/>
    <mergeCell ref="A3:C3"/>
    <mergeCell ref="D3:L3"/>
    <mergeCell ref="A5:C5"/>
    <mergeCell ref="D5:L5"/>
    <mergeCell ref="A7:C7"/>
    <mergeCell ref="D7:L7"/>
    <mergeCell ref="A9:C9"/>
    <mergeCell ref="D9:L9"/>
    <mergeCell ref="A11:C11"/>
    <mergeCell ref="D11:L11"/>
    <mergeCell ref="E13:L13"/>
  </mergeCells>
  <conditionalFormatting sqref="E40">
    <cfRule type="cellIs" dxfId="15" priority="8" stopIfTrue="1" operator="between">
      <formula>$E$39</formula>
      <formula>$E$41</formula>
    </cfRule>
    <cfRule type="cellIs" dxfId="14" priority="16" stopIfTrue="1" operator="notBetween">
      <formula>$E$39</formula>
      <formula>$E$41</formula>
    </cfRule>
  </conditionalFormatting>
  <conditionalFormatting sqref="F40">
    <cfRule type="cellIs" dxfId="13" priority="7" stopIfTrue="1" operator="between">
      <formula>$F$39</formula>
      <formula>$F$41</formula>
    </cfRule>
    <cfRule type="cellIs" dxfId="12" priority="15" stopIfTrue="1" operator="notBetween">
      <formula>$F$39</formula>
      <formula>$F$41</formula>
    </cfRule>
  </conditionalFormatting>
  <conditionalFormatting sqref="G40">
    <cfRule type="cellIs" dxfId="11" priority="6" stopIfTrue="1" operator="between">
      <formula>$G$39</formula>
      <formula>$G$41</formula>
    </cfRule>
    <cfRule type="cellIs" dxfId="10" priority="14" stopIfTrue="1" operator="notBetween">
      <formula>$G$39</formula>
      <formula>$G$41</formula>
    </cfRule>
  </conditionalFormatting>
  <conditionalFormatting sqref="H40">
    <cfRule type="cellIs" dxfId="9" priority="5" stopIfTrue="1" operator="between">
      <formula>$H$39</formula>
      <formula>$H$41</formula>
    </cfRule>
    <cfRule type="cellIs" dxfId="8" priority="13" stopIfTrue="1" operator="notBetween">
      <formula>$H$39</formula>
      <formula>$H$41</formula>
    </cfRule>
  </conditionalFormatting>
  <conditionalFormatting sqref="I40">
    <cfRule type="cellIs" dxfId="7" priority="4" stopIfTrue="1" operator="between">
      <formula>$I$39</formula>
      <formula>$I$41</formula>
    </cfRule>
    <cfRule type="cellIs" dxfId="6" priority="12" stopIfTrue="1" operator="notBetween">
      <formula>$I$39</formula>
      <formula>$I$41</formula>
    </cfRule>
  </conditionalFormatting>
  <conditionalFormatting sqref="J40">
    <cfRule type="cellIs" dxfId="5" priority="3" stopIfTrue="1" operator="between">
      <formula>$J$39</formula>
      <formula>$J$41</formula>
    </cfRule>
    <cfRule type="cellIs" dxfId="4" priority="11" stopIfTrue="1" operator="notBetween">
      <formula>$J$39</formula>
      <formula>$J$41</formula>
    </cfRule>
  </conditionalFormatting>
  <conditionalFormatting sqref="K40">
    <cfRule type="cellIs" dxfId="3" priority="2" stopIfTrue="1" operator="between">
      <formula>$K$39</formula>
      <formula>$K$41</formula>
    </cfRule>
    <cfRule type="cellIs" dxfId="2" priority="10" stopIfTrue="1" operator="notBetween">
      <formula>$K$39</formula>
      <formula>$K$41</formula>
    </cfRule>
  </conditionalFormatting>
  <conditionalFormatting sqref="L40">
    <cfRule type="cellIs" dxfId="1" priority="1" stopIfTrue="1" operator="between">
      <formula>$L$39</formula>
      <formula>$L$41</formula>
    </cfRule>
    <cfRule type="cellIs" dxfId="0" priority="9" stopIfTrue="1" operator="notBetween">
      <formula>$L$39</formula>
      <formula>$L$41</formula>
    </cfRule>
  </conditionalFormatting>
  <pageMargins left="0.77" right="0.59" top="0.5" bottom="0.5" header="0.5" footer="0.5"/>
  <pageSetup scale="80" orientation="landscape" horizontalDpi="4294967295" verticalDpi="4294967295" r:id="rId1"/>
  <headerFooter alignWithMargins="0">
    <oddFooter>&amp;LSubmit to Project Manager&amp;RCreated by BR (2005)
Modified by LKH (2008 Rev-2014)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N18"/>
  <sheetViews>
    <sheetView zoomScale="70" zoomScaleNormal="70" workbookViewId="0">
      <selection activeCell="M35" sqref="M35"/>
    </sheetView>
  </sheetViews>
  <sheetFormatPr defaultRowHeight="14.5"/>
  <cols>
    <col min="2" max="3" width="12.26953125" customWidth="1"/>
    <col min="4" max="4" width="14.26953125" customWidth="1"/>
    <col min="5" max="5" width="13.7265625" customWidth="1"/>
    <col min="9" max="9" width="12.7265625" customWidth="1"/>
    <col min="10" max="10" width="11.81640625" customWidth="1"/>
    <col min="11" max="11" width="12" customWidth="1"/>
    <col min="12" max="12" width="13.1796875" customWidth="1"/>
  </cols>
  <sheetData>
    <row r="1" spans="1:14">
      <c r="A1" t="s">
        <v>230</v>
      </c>
    </row>
    <row r="5" spans="1:14" ht="18" thickBot="1">
      <c r="C5" s="788" t="s">
        <v>234</v>
      </c>
      <c r="D5" s="788"/>
      <c r="E5" s="788"/>
      <c r="F5" s="788"/>
      <c r="G5" s="788"/>
      <c r="J5" s="788" t="s">
        <v>235</v>
      </c>
      <c r="K5" s="788"/>
      <c r="L5" s="788"/>
      <c r="M5" s="788"/>
      <c r="N5" s="788"/>
    </row>
    <row r="6" spans="1:14" ht="35">
      <c r="B6" s="431" t="s">
        <v>16</v>
      </c>
      <c r="C6" s="432" t="s">
        <v>196</v>
      </c>
      <c r="D6" s="432" t="s">
        <v>198</v>
      </c>
      <c r="E6" s="433" t="s">
        <v>197</v>
      </c>
      <c r="F6" s="433" t="s">
        <v>223</v>
      </c>
      <c r="G6" s="434" t="s">
        <v>224</v>
      </c>
      <c r="I6" s="431" t="s">
        <v>16</v>
      </c>
      <c r="J6" s="432" t="s">
        <v>196</v>
      </c>
      <c r="K6" s="432" t="s">
        <v>198</v>
      </c>
      <c r="L6" s="433" t="s">
        <v>197</v>
      </c>
      <c r="M6" s="433" t="s">
        <v>223</v>
      </c>
      <c r="N6" s="434" t="s">
        <v>224</v>
      </c>
    </row>
    <row r="7" spans="1:14" ht="18">
      <c r="B7" s="416" t="s">
        <v>0</v>
      </c>
      <c r="C7" s="445">
        <v>1.5612511283791264E-17</v>
      </c>
      <c r="D7" s="445">
        <v>1.5612511283791264E-17</v>
      </c>
      <c r="E7" s="445">
        <v>1.5612511283791264E-17</v>
      </c>
      <c r="F7" s="445">
        <v>1.5612511283791264E-17</v>
      </c>
      <c r="G7" s="445">
        <v>1.5612511283791264E-17</v>
      </c>
      <c r="I7" s="416" t="s">
        <v>0</v>
      </c>
      <c r="J7" s="445">
        <v>1</v>
      </c>
      <c r="K7" s="445">
        <v>1</v>
      </c>
      <c r="L7" s="445">
        <v>1.5612511283791264E-17</v>
      </c>
      <c r="M7" s="445">
        <v>1</v>
      </c>
      <c r="N7" s="445">
        <v>1.5612511283791264E-17</v>
      </c>
    </row>
    <row r="8" spans="1:14" ht="18">
      <c r="B8" s="417" t="s">
        <v>3</v>
      </c>
      <c r="C8" s="445">
        <v>1.5612511283791264E-17</v>
      </c>
      <c r="D8" s="445">
        <v>1.5612511283791264E-17</v>
      </c>
      <c r="E8" s="445">
        <v>1.5612511283791264E-17</v>
      </c>
      <c r="F8" s="445">
        <v>1.5612511283791264E-17</v>
      </c>
      <c r="G8" s="445">
        <v>1.5612511283791264E-17</v>
      </c>
      <c r="I8" s="417" t="s">
        <v>3</v>
      </c>
      <c r="J8" s="445">
        <f>J7-C8</f>
        <v>1</v>
      </c>
      <c r="K8" s="445">
        <f>K7-D8</f>
        <v>1</v>
      </c>
      <c r="L8" s="445">
        <v>1.5612511283791264E-17</v>
      </c>
      <c r="M8" s="445">
        <f>M7-F8</f>
        <v>1</v>
      </c>
      <c r="N8" s="445">
        <v>1.5612511283791264E-17</v>
      </c>
    </row>
    <row r="9" spans="1:14" ht="18">
      <c r="B9" s="417" t="s">
        <v>6</v>
      </c>
      <c r="C9" s="445">
        <v>1.5612511283791264E-17</v>
      </c>
      <c r="D9" s="445">
        <v>1.5612511283791264E-17</v>
      </c>
      <c r="E9" s="445">
        <v>1.5612511283791264E-17</v>
      </c>
      <c r="F9" s="445">
        <v>1.5612511283791264E-17</v>
      </c>
      <c r="G9" s="445">
        <v>1.5612511283791264E-17</v>
      </c>
      <c r="I9" s="417" t="s">
        <v>6</v>
      </c>
      <c r="J9" s="445">
        <f t="shared" ref="J9:M18" si="0">J8-C9</f>
        <v>1</v>
      </c>
      <c r="K9" s="445">
        <f t="shared" si="0"/>
        <v>1</v>
      </c>
      <c r="L9" s="445">
        <v>1.5612511283791264E-17</v>
      </c>
      <c r="M9" s="445">
        <f t="shared" si="0"/>
        <v>1</v>
      </c>
      <c r="N9" s="445">
        <v>1.5612511283791264E-17</v>
      </c>
    </row>
    <row r="10" spans="1:14" ht="18">
      <c r="B10" s="417" t="s">
        <v>1</v>
      </c>
      <c r="C10" s="445">
        <v>1.5612511283791264E-17</v>
      </c>
      <c r="D10" s="445">
        <v>1.5612511283791264E-17</v>
      </c>
      <c r="E10" s="445">
        <v>1.5612511283791264E-17</v>
      </c>
      <c r="F10" s="445">
        <v>1.5612511283791264E-17</v>
      </c>
      <c r="G10" s="445">
        <v>1.5612511283791264E-17</v>
      </c>
      <c r="I10" s="417" t="s">
        <v>1</v>
      </c>
      <c r="J10" s="445">
        <f t="shared" si="0"/>
        <v>1</v>
      </c>
      <c r="K10" s="445">
        <f t="shared" si="0"/>
        <v>1</v>
      </c>
      <c r="L10" s="445">
        <v>1.5612511283791264E-17</v>
      </c>
      <c r="M10" s="445">
        <f t="shared" si="0"/>
        <v>1</v>
      </c>
      <c r="N10" s="445">
        <v>1.5612511283791264E-17</v>
      </c>
    </row>
    <row r="11" spans="1:14" ht="18">
      <c r="B11" s="417" t="s">
        <v>4</v>
      </c>
      <c r="C11" s="445">
        <v>1.5612511283791264E-17</v>
      </c>
      <c r="D11" s="445">
        <v>1.5612511283791264E-17</v>
      </c>
      <c r="E11" s="445">
        <v>1.5612511283791264E-17</v>
      </c>
      <c r="F11" s="445">
        <v>1.5612511283791264E-17</v>
      </c>
      <c r="G11" s="445">
        <v>1.5612511283791264E-17</v>
      </c>
      <c r="I11" s="417" t="s">
        <v>4</v>
      </c>
      <c r="J11" s="445">
        <f t="shared" si="0"/>
        <v>1</v>
      </c>
      <c r="K11" s="445">
        <f t="shared" si="0"/>
        <v>1</v>
      </c>
      <c r="L11" s="445">
        <v>1.5612511283791264E-17</v>
      </c>
      <c r="M11" s="445">
        <f t="shared" si="0"/>
        <v>1</v>
      </c>
      <c r="N11" s="445">
        <v>1.5612511283791264E-17</v>
      </c>
    </row>
    <row r="12" spans="1:14" ht="18">
      <c r="B12" s="417" t="s">
        <v>2</v>
      </c>
      <c r="C12" s="445">
        <v>1.5612511283791264E-17</v>
      </c>
      <c r="D12" s="445">
        <v>1.5612511283791264E-17</v>
      </c>
      <c r="E12" s="445">
        <v>1.5612511283791264E-17</v>
      </c>
      <c r="F12" s="445">
        <v>1.5612511283791264E-17</v>
      </c>
      <c r="G12" s="445">
        <v>1.5612511283791264E-17</v>
      </c>
      <c r="I12" s="417" t="s">
        <v>2</v>
      </c>
      <c r="J12" s="445">
        <f t="shared" si="0"/>
        <v>1</v>
      </c>
      <c r="K12" s="445">
        <f t="shared" si="0"/>
        <v>1</v>
      </c>
      <c r="L12" s="445">
        <v>1.5612511283791264E-17</v>
      </c>
      <c r="M12" s="445">
        <f t="shared" si="0"/>
        <v>1</v>
      </c>
      <c r="N12" s="445">
        <v>1.5612511283791264E-17</v>
      </c>
    </row>
    <row r="13" spans="1:14" ht="18">
      <c r="B13" s="417" t="s">
        <v>5</v>
      </c>
      <c r="C13" s="445">
        <v>1.5612511283791264E-17</v>
      </c>
      <c r="D13" s="445">
        <v>1.5612511283791264E-17</v>
      </c>
      <c r="E13" s="445">
        <v>1.5612511283791264E-17</v>
      </c>
      <c r="F13" s="445">
        <v>1.5612511283791264E-17</v>
      </c>
      <c r="G13" s="445">
        <v>1.5612511283791264E-17</v>
      </c>
      <c r="I13" s="417" t="s">
        <v>5</v>
      </c>
      <c r="J13" s="445">
        <f t="shared" si="0"/>
        <v>1</v>
      </c>
      <c r="K13" s="445">
        <f t="shared" si="0"/>
        <v>1</v>
      </c>
      <c r="L13" s="445">
        <v>1.5612511283791264E-17</v>
      </c>
      <c r="M13" s="445">
        <f t="shared" si="0"/>
        <v>1</v>
      </c>
      <c r="N13" s="445">
        <v>1.5612511283791264E-17</v>
      </c>
    </row>
    <row r="14" spans="1:14" ht="18">
      <c r="B14" s="417" t="s">
        <v>7</v>
      </c>
      <c r="C14" s="445">
        <v>1.5612511283791264E-17</v>
      </c>
      <c r="D14" s="445">
        <v>1.5612511283791264E-17</v>
      </c>
      <c r="E14" s="445">
        <v>1.5612511283791264E-17</v>
      </c>
      <c r="F14" s="445">
        <v>1.5612511283791264E-17</v>
      </c>
      <c r="G14" s="445">
        <v>1.5612511283791264E-17</v>
      </c>
      <c r="I14" s="417" t="s">
        <v>7</v>
      </c>
      <c r="J14" s="445">
        <f t="shared" si="0"/>
        <v>1</v>
      </c>
      <c r="K14" s="445">
        <f t="shared" si="0"/>
        <v>1</v>
      </c>
      <c r="L14" s="445">
        <v>1.5612511283791264E-17</v>
      </c>
      <c r="M14" s="445">
        <f t="shared" si="0"/>
        <v>1</v>
      </c>
      <c r="N14" s="445">
        <v>1.5612511283791264E-17</v>
      </c>
    </row>
    <row r="15" spans="1:14" ht="18">
      <c r="B15" s="417" t="s">
        <v>8</v>
      </c>
      <c r="C15" s="445">
        <v>1.5612511283791264E-17</v>
      </c>
      <c r="D15" s="445">
        <v>1.5612511283791264E-17</v>
      </c>
      <c r="E15" s="445">
        <v>1.5612511283791264E-17</v>
      </c>
      <c r="F15" s="445">
        <v>1.5612511283791264E-17</v>
      </c>
      <c r="G15" s="445">
        <v>1.5612511283791264E-17</v>
      </c>
      <c r="I15" s="417" t="s">
        <v>8</v>
      </c>
      <c r="J15" s="445">
        <f t="shared" si="0"/>
        <v>1</v>
      </c>
      <c r="K15" s="445">
        <f t="shared" si="0"/>
        <v>1</v>
      </c>
      <c r="L15" s="445">
        <v>1.5612511283791264E-17</v>
      </c>
      <c r="M15" s="445">
        <f t="shared" si="0"/>
        <v>1</v>
      </c>
      <c r="N15" s="445">
        <v>1.5612511283791264E-17</v>
      </c>
    </row>
    <row r="16" spans="1:14" ht="18">
      <c r="B16" s="417" t="s">
        <v>9</v>
      </c>
      <c r="C16" s="445">
        <v>1.5612511283791264E-17</v>
      </c>
      <c r="D16" s="445">
        <v>1.5612511283791264E-17</v>
      </c>
      <c r="E16" s="445">
        <v>1.5612511283791264E-17</v>
      </c>
      <c r="F16" s="445">
        <v>1.5612511283791264E-17</v>
      </c>
      <c r="G16" s="445">
        <v>1.5612511283791264E-17</v>
      </c>
      <c r="I16" s="417" t="s">
        <v>9</v>
      </c>
      <c r="J16" s="445">
        <f t="shared" si="0"/>
        <v>1</v>
      </c>
      <c r="K16" s="445">
        <f t="shared" si="0"/>
        <v>1</v>
      </c>
      <c r="L16" s="445">
        <v>1.5612511283791264E-17</v>
      </c>
      <c r="M16" s="445">
        <f t="shared" si="0"/>
        <v>1</v>
      </c>
      <c r="N16" s="445">
        <v>1.5612511283791264E-17</v>
      </c>
    </row>
    <row r="17" spans="2:14" ht="18">
      <c r="B17" s="417" t="s">
        <v>10</v>
      </c>
      <c r="C17" s="445">
        <v>1.5612511283791264E-17</v>
      </c>
      <c r="D17" s="445">
        <v>1.5612511283791264E-17</v>
      </c>
      <c r="E17" s="445">
        <v>1.5612511283791264E-17</v>
      </c>
      <c r="F17" s="445">
        <v>1.5612511283791264E-17</v>
      </c>
      <c r="G17" s="445">
        <v>1.5612511283791264E-17</v>
      </c>
      <c r="I17" s="417" t="s">
        <v>10</v>
      </c>
      <c r="J17" s="445">
        <f t="shared" si="0"/>
        <v>1</v>
      </c>
      <c r="K17" s="445">
        <f t="shared" si="0"/>
        <v>1</v>
      </c>
      <c r="L17" s="445">
        <v>1.5612511283791264E-17</v>
      </c>
      <c r="M17" s="445">
        <f t="shared" si="0"/>
        <v>1</v>
      </c>
      <c r="N17" s="445">
        <v>1.5612511283791264E-17</v>
      </c>
    </row>
    <row r="18" spans="2:14" ht="18.5" thickBot="1">
      <c r="B18" s="418" t="s">
        <v>12</v>
      </c>
      <c r="C18" s="445">
        <v>1.5612511283791264E-17</v>
      </c>
      <c r="D18" s="445">
        <v>1.5612511283791264E-17</v>
      </c>
      <c r="E18" s="445">
        <v>1.5612511283791264E-17</v>
      </c>
      <c r="F18" s="445">
        <v>1.5612511283791264E-17</v>
      </c>
      <c r="G18" s="445">
        <v>1.5612511283791264E-17</v>
      </c>
      <c r="I18" s="418" t="s">
        <v>12</v>
      </c>
      <c r="J18" s="445">
        <f t="shared" si="0"/>
        <v>1</v>
      </c>
      <c r="K18" s="445">
        <f t="shared" si="0"/>
        <v>1</v>
      </c>
      <c r="L18" s="445">
        <v>1.5612511283791264E-17</v>
      </c>
      <c r="M18" s="445">
        <f t="shared" si="0"/>
        <v>1</v>
      </c>
      <c r="N18" s="445">
        <v>1.5612511283791264E-17</v>
      </c>
    </row>
  </sheetData>
  <mergeCells count="2">
    <mergeCell ref="C5:G5"/>
    <mergeCell ref="J5:N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2:O19"/>
  <sheetViews>
    <sheetView zoomScale="70" zoomScaleNormal="70" workbookViewId="0">
      <selection activeCell="E10" sqref="E10"/>
    </sheetView>
  </sheetViews>
  <sheetFormatPr defaultRowHeight="14.5"/>
  <cols>
    <col min="2" max="2" width="12.7265625" customWidth="1"/>
    <col min="3" max="6" width="15.7265625" customWidth="1"/>
    <col min="7" max="7" width="16.26953125" customWidth="1"/>
    <col min="8" max="8" width="15.453125" customWidth="1"/>
    <col min="9" max="9" width="9.7265625" bestFit="1" customWidth="1"/>
    <col min="10" max="10" width="10.26953125" bestFit="1" customWidth="1"/>
    <col min="11" max="12" width="12.7265625" customWidth="1"/>
    <col min="13" max="13" width="13.7265625" customWidth="1"/>
    <col min="14" max="14" width="12.7265625" customWidth="1"/>
  </cols>
  <sheetData>
    <row r="2" spans="1:15" ht="17.5">
      <c r="A2" s="420" t="s">
        <v>231</v>
      </c>
    </row>
    <row r="4" spans="1:15" ht="17.5">
      <c r="B4" s="408"/>
    </row>
    <row r="5" spans="1:15" ht="25.5" thickBot="1">
      <c r="C5" s="789" t="s">
        <v>232</v>
      </c>
      <c r="D5" s="789"/>
      <c r="E5" s="789"/>
      <c r="F5" s="789"/>
      <c r="G5" s="789"/>
      <c r="J5" s="788" t="s">
        <v>233</v>
      </c>
      <c r="K5" s="788"/>
      <c r="L5" s="788"/>
      <c r="M5" s="788"/>
      <c r="N5" s="788"/>
    </row>
    <row r="6" spans="1:15" ht="52.5">
      <c r="B6" s="431" t="s">
        <v>16</v>
      </c>
      <c r="C6" s="432" t="s">
        <v>196</v>
      </c>
      <c r="D6" s="432" t="s">
        <v>198</v>
      </c>
      <c r="E6" s="433" t="s">
        <v>197</v>
      </c>
      <c r="F6" s="433" t="s">
        <v>223</v>
      </c>
      <c r="G6" s="434" t="s">
        <v>224</v>
      </c>
      <c r="I6" s="431" t="s">
        <v>16</v>
      </c>
      <c r="J6" s="432" t="s">
        <v>196</v>
      </c>
      <c r="K6" s="432" t="s">
        <v>198</v>
      </c>
      <c r="L6" s="433" t="s">
        <v>197</v>
      </c>
      <c r="M6" s="433" t="s">
        <v>223</v>
      </c>
      <c r="N6" s="434" t="s">
        <v>224</v>
      </c>
    </row>
    <row r="7" spans="1:15" ht="18">
      <c r="B7" s="416" t="s">
        <v>0</v>
      </c>
      <c r="C7" s="627"/>
      <c r="D7" s="628"/>
      <c r="E7" s="628"/>
      <c r="F7" s="629"/>
      <c r="G7" s="630"/>
      <c r="I7" s="416" t="s">
        <v>0</v>
      </c>
      <c r="J7" s="572">
        <f>IF(1-C7=1,0,1-C7)</f>
        <v>0</v>
      </c>
      <c r="K7" s="572">
        <f t="shared" ref="K7:N7" si="0">IF(1-D7=1,0,1-D7)</f>
        <v>0</v>
      </c>
      <c r="L7" s="572">
        <f t="shared" si="0"/>
        <v>0</v>
      </c>
      <c r="M7" s="572">
        <f t="shared" si="0"/>
        <v>0</v>
      </c>
      <c r="N7" s="572">
        <f t="shared" si="0"/>
        <v>0</v>
      </c>
      <c r="O7" s="150"/>
    </row>
    <row r="8" spans="1:15" ht="18">
      <c r="B8" s="417" t="s">
        <v>3</v>
      </c>
      <c r="C8" s="627"/>
      <c r="D8" s="628"/>
      <c r="E8" s="628"/>
      <c r="F8" s="629"/>
      <c r="G8" s="630"/>
      <c r="I8" s="417" t="s">
        <v>3</v>
      </c>
      <c r="J8" s="572">
        <f>C7-C8</f>
        <v>0</v>
      </c>
      <c r="K8" s="572">
        <f t="shared" ref="K8:K18" si="1">D7-D8</f>
        <v>0</v>
      </c>
      <c r="L8" s="572">
        <f t="shared" ref="L8:L18" si="2">E7-E8</f>
        <v>0</v>
      </c>
      <c r="M8" s="572">
        <f t="shared" ref="M8:M18" si="3">F7-F8</f>
        <v>0</v>
      </c>
      <c r="N8" s="572">
        <f t="shared" ref="N8:N18" si="4">G7-G8</f>
        <v>0</v>
      </c>
      <c r="O8" s="150"/>
    </row>
    <row r="9" spans="1:15" ht="18">
      <c r="B9" s="417" t="s">
        <v>6</v>
      </c>
      <c r="C9" s="627"/>
      <c r="D9" s="628"/>
      <c r="E9" s="628"/>
      <c r="F9" s="629"/>
      <c r="G9" s="630"/>
      <c r="I9" s="417" t="s">
        <v>6</v>
      </c>
      <c r="J9" s="572">
        <f t="shared" ref="J9:J18" si="5">C8-C9</f>
        <v>0</v>
      </c>
      <c r="K9" s="572">
        <f t="shared" si="1"/>
        <v>0</v>
      </c>
      <c r="L9" s="572">
        <f t="shared" si="2"/>
        <v>0</v>
      </c>
      <c r="M9" s="572">
        <f t="shared" si="3"/>
        <v>0</v>
      </c>
      <c r="N9" s="572">
        <f t="shared" si="4"/>
        <v>0</v>
      </c>
      <c r="O9" s="150"/>
    </row>
    <row r="10" spans="1:15" ht="18">
      <c r="B10" s="417" t="s">
        <v>1</v>
      </c>
      <c r="C10" s="627"/>
      <c r="D10" s="628"/>
      <c r="E10" s="628"/>
      <c r="F10" s="629"/>
      <c r="G10" s="630"/>
      <c r="I10" s="417" t="s">
        <v>1</v>
      </c>
      <c r="J10" s="572">
        <f t="shared" si="5"/>
        <v>0</v>
      </c>
      <c r="K10" s="572">
        <f t="shared" si="1"/>
        <v>0</v>
      </c>
      <c r="L10" s="572">
        <f t="shared" si="2"/>
        <v>0</v>
      </c>
      <c r="M10" s="572">
        <f t="shared" si="3"/>
        <v>0</v>
      </c>
      <c r="N10" s="572">
        <f t="shared" si="4"/>
        <v>0</v>
      </c>
      <c r="O10" s="150"/>
    </row>
    <row r="11" spans="1:15" ht="18">
      <c r="B11" s="417" t="s">
        <v>4</v>
      </c>
      <c r="C11" s="627"/>
      <c r="D11" s="628"/>
      <c r="E11" s="628"/>
      <c r="F11" s="629"/>
      <c r="G11" s="630"/>
      <c r="I11" s="417" t="s">
        <v>4</v>
      </c>
      <c r="J11" s="572">
        <f t="shared" si="5"/>
        <v>0</v>
      </c>
      <c r="K11" s="572">
        <f t="shared" si="1"/>
        <v>0</v>
      </c>
      <c r="L11" s="572">
        <f t="shared" si="2"/>
        <v>0</v>
      </c>
      <c r="M11" s="572">
        <f t="shared" si="3"/>
        <v>0</v>
      </c>
      <c r="N11" s="572">
        <f t="shared" si="4"/>
        <v>0</v>
      </c>
      <c r="O11" s="150"/>
    </row>
    <row r="12" spans="1:15" ht="18">
      <c r="B12" s="417" t="s">
        <v>2</v>
      </c>
      <c r="C12" s="627"/>
      <c r="D12" s="628"/>
      <c r="E12" s="628"/>
      <c r="F12" s="629"/>
      <c r="G12" s="630"/>
      <c r="I12" s="417" t="s">
        <v>2</v>
      </c>
      <c r="J12" s="572">
        <f t="shared" si="5"/>
        <v>0</v>
      </c>
      <c r="K12" s="572">
        <f t="shared" si="1"/>
        <v>0</v>
      </c>
      <c r="L12" s="572">
        <f t="shared" si="2"/>
        <v>0</v>
      </c>
      <c r="M12" s="572">
        <f t="shared" si="3"/>
        <v>0</v>
      </c>
      <c r="N12" s="572">
        <f t="shared" si="4"/>
        <v>0</v>
      </c>
      <c r="O12" s="150"/>
    </row>
    <row r="13" spans="1:15" ht="18">
      <c r="B13" s="417" t="s">
        <v>5</v>
      </c>
      <c r="C13" s="627"/>
      <c r="D13" s="628"/>
      <c r="E13" s="628"/>
      <c r="F13" s="629"/>
      <c r="G13" s="630"/>
      <c r="I13" s="417" t="s">
        <v>5</v>
      </c>
      <c r="J13" s="572">
        <f t="shared" si="5"/>
        <v>0</v>
      </c>
      <c r="K13" s="572">
        <f>D12-D13</f>
        <v>0</v>
      </c>
      <c r="L13" s="572">
        <f t="shared" si="2"/>
        <v>0</v>
      </c>
      <c r="M13" s="572">
        <f t="shared" si="3"/>
        <v>0</v>
      </c>
      <c r="N13" s="572">
        <f t="shared" si="4"/>
        <v>0</v>
      </c>
      <c r="O13" s="150"/>
    </row>
    <row r="14" spans="1:15" ht="18">
      <c r="B14" s="417" t="s">
        <v>7</v>
      </c>
      <c r="C14" s="627"/>
      <c r="D14" s="628"/>
      <c r="E14" s="628"/>
      <c r="F14" s="629"/>
      <c r="G14" s="630"/>
      <c r="I14" s="417" t="s">
        <v>7</v>
      </c>
      <c r="J14" s="572">
        <f t="shared" si="5"/>
        <v>0</v>
      </c>
      <c r="K14" s="572">
        <f t="shared" si="1"/>
        <v>0</v>
      </c>
      <c r="L14" s="572">
        <f t="shared" si="2"/>
        <v>0</v>
      </c>
      <c r="M14" s="572">
        <f t="shared" si="3"/>
        <v>0</v>
      </c>
      <c r="N14" s="572">
        <f t="shared" si="4"/>
        <v>0</v>
      </c>
      <c r="O14" s="150"/>
    </row>
    <row r="15" spans="1:15" ht="18">
      <c r="B15" s="417" t="s">
        <v>8</v>
      </c>
      <c r="C15" s="627"/>
      <c r="D15" s="628"/>
      <c r="E15" s="628"/>
      <c r="F15" s="629"/>
      <c r="G15" s="630"/>
      <c r="I15" s="417" t="s">
        <v>8</v>
      </c>
      <c r="J15" s="572">
        <f t="shared" si="5"/>
        <v>0</v>
      </c>
      <c r="K15" s="572">
        <f t="shared" si="1"/>
        <v>0</v>
      </c>
      <c r="L15" s="572">
        <f t="shared" si="2"/>
        <v>0</v>
      </c>
      <c r="M15" s="572">
        <f t="shared" si="3"/>
        <v>0</v>
      </c>
      <c r="N15" s="572">
        <f t="shared" si="4"/>
        <v>0</v>
      </c>
      <c r="O15" s="150"/>
    </row>
    <row r="16" spans="1:15" ht="18">
      <c r="B16" s="417" t="s">
        <v>9</v>
      </c>
      <c r="C16" s="627"/>
      <c r="D16" s="628"/>
      <c r="E16" s="628"/>
      <c r="F16" s="629"/>
      <c r="G16" s="630"/>
      <c r="I16" s="417" t="s">
        <v>9</v>
      </c>
      <c r="J16" s="572">
        <f t="shared" si="5"/>
        <v>0</v>
      </c>
      <c r="K16" s="572">
        <f t="shared" si="1"/>
        <v>0</v>
      </c>
      <c r="L16" s="572">
        <f t="shared" si="2"/>
        <v>0</v>
      </c>
      <c r="M16" s="572">
        <f t="shared" si="3"/>
        <v>0</v>
      </c>
      <c r="N16" s="572">
        <f t="shared" si="4"/>
        <v>0</v>
      </c>
      <c r="O16" s="150"/>
    </row>
    <row r="17" spans="2:15" ht="18">
      <c r="B17" s="417" t="s">
        <v>10</v>
      </c>
      <c r="C17" s="627"/>
      <c r="D17" s="628"/>
      <c r="E17" s="628"/>
      <c r="F17" s="629"/>
      <c r="G17" s="630"/>
      <c r="I17" s="417" t="s">
        <v>10</v>
      </c>
      <c r="J17" s="572">
        <f t="shared" si="5"/>
        <v>0</v>
      </c>
      <c r="K17" s="572">
        <f t="shared" si="1"/>
        <v>0</v>
      </c>
      <c r="L17" s="572">
        <f t="shared" si="2"/>
        <v>0</v>
      </c>
      <c r="M17" s="572">
        <f t="shared" si="3"/>
        <v>0</v>
      </c>
      <c r="N17" s="572">
        <f t="shared" si="4"/>
        <v>0</v>
      </c>
      <c r="O17" s="150"/>
    </row>
    <row r="18" spans="2:15" ht="18.5" thickBot="1">
      <c r="B18" s="418" t="s">
        <v>12</v>
      </c>
      <c r="C18" s="631"/>
      <c r="D18" s="632"/>
      <c r="E18" s="632"/>
      <c r="F18" s="633"/>
      <c r="G18" s="634"/>
      <c r="I18" s="418" t="s">
        <v>12</v>
      </c>
      <c r="J18" s="572">
        <f t="shared" si="5"/>
        <v>0</v>
      </c>
      <c r="K18" s="572">
        <f t="shared" si="1"/>
        <v>0</v>
      </c>
      <c r="L18" s="572">
        <f t="shared" si="2"/>
        <v>0</v>
      </c>
      <c r="M18" s="572">
        <f t="shared" si="3"/>
        <v>0</v>
      </c>
      <c r="N18" s="572">
        <f t="shared" si="4"/>
        <v>0</v>
      </c>
      <c r="O18" s="56"/>
    </row>
    <row r="19" spans="2:15" ht="18">
      <c r="D19" s="422"/>
      <c r="E19" s="435"/>
    </row>
  </sheetData>
  <sheetProtection algorithmName="SHA-512" hashValue="QYWarFBf5Bd3YhqPDYm6UgwEpgLW9izcnFdTJxA7maliw46AlmNGPN4jEgiH5wBZo9pG766n3hbPVDfumtpUcg==" saltValue="TNWYpseMzfSQJ0UPNDnD4w==" spinCount="100000" sheet="1" formatCells="0" selectLockedCells="1"/>
  <mergeCells count="2">
    <mergeCell ref="C5:G5"/>
    <mergeCell ref="J5:N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B1:S60"/>
  <sheetViews>
    <sheetView topLeftCell="A7" zoomScale="60" zoomScaleNormal="60" workbookViewId="0">
      <selection activeCell="E15" sqref="E15"/>
    </sheetView>
  </sheetViews>
  <sheetFormatPr defaultRowHeight="14.5"/>
  <cols>
    <col min="1" max="1" width="5.54296875" customWidth="1"/>
    <col min="2" max="2" width="24.7265625" customWidth="1"/>
    <col min="3" max="3" width="13.54296875" customWidth="1"/>
    <col min="4" max="4" width="15.54296875" customWidth="1"/>
    <col min="5" max="5" width="13.453125" customWidth="1"/>
    <col min="6" max="7" width="13.7265625" customWidth="1"/>
    <col min="8" max="8" width="20.26953125" customWidth="1"/>
    <col min="9" max="9" width="21.7265625" customWidth="1"/>
    <col min="10" max="10" width="12.7265625" customWidth="1"/>
    <col min="11" max="11" width="10.7265625" customWidth="1"/>
    <col min="12" max="15" width="12.7265625" customWidth="1"/>
  </cols>
  <sheetData>
    <row r="1" spans="2:15" ht="17.5">
      <c r="B1" s="420" t="s">
        <v>384</v>
      </c>
    </row>
    <row r="4" spans="2:15" ht="18">
      <c r="B4" s="408" t="s">
        <v>191</v>
      </c>
      <c r="C4" s="409"/>
      <c r="D4" s="409"/>
      <c r="E4" s="409"/>
      <c r="F4" s="409"/>
      <c r="G4" s="409"/>
      <c r="H4" s="409"/>
    </row>
    <row r="5" spans="2:15" ht="18.5" thickBot="1">
      <c r="B5" s="409"/>
      <c r="C5" s="802" t="s">
        <v>390</v>
      </c>
      <c r="D5" s="802"/>
      <c r="E5" s="802"/>
      <c r="F5" s="802"/>
      <c r="G5" s="409"/>
      <c r="H5" s="409"/>
    </row>
    <row r="6" spans="2:15" ht="35">
      <c r="B6" s="410" t="s">
        <v>190</v>
      </c>
      <c r="C6" s="794" t="s">
        <v>194</v>
      </c>
      <c r="D6" s="795"/>
      <c r="E6" s="411" t="s">
        <v>195</v>
      </c>
      <c r="F6" s="411" t="s">
        <v>184</v>
      </c>
      <c r="G6" s="419" t="s">
        <v>199</v>
      </c>
      <c r="I6" s="442"/>
      <c r="J6" s="442"/>
      <c r="K6" s="442"/>
      <c r="L6" s="442"/>
      <c r="M6" s="442"/>
      <c r="N6" s="442"/>
      <c r="O6" s="442"/>
    </row>
    <row r="7" spans="2:15" ht="18">
      <c r="B7" s="412" t="s">
        <v>196</v>
      </c>
      <c r="C7" s="796"/>
      <c r="D7" s="797"/>
      <c r="E7" s="617"/>
      <c r="F7" s="617"/>
      <c r="G7" s="436">
        <f t="shared" ref="G7:G14" si="0">IF(E7=0, 0, E7/F7/62.4)</f>
        <v>0</v>
      </c>
      <c r="I7" s="441"/>
      <c r="J7" s="441"/>
      <c r="K7" s="441"/>
      <c r="L7" s="441"/>
      <c r="M7" s="441"/>
      <c r="N7" s="441"/>
      <c r="O7" s="441"/>
    </row>
    <row r="8" spans="2:15" ht="18">
      <c r="B8" s="412" t="s">
        <v>198</v>
      </c>
      <c r="C8" s="792"/>
      <c r="D8" s="793"/>
      <c r="E8" s="618"/>
      <c r="F8" s="619"/>
      <c r="G8" s="436">
        <f t="shared" si="0"/>
        <v>0</v>
      </c>
      <c r="H8" s="421"/>
      <c r="I8" s="443"/>
      <c r="J8" s="443"/>
      <c r="K8" s="443"/>
      <c r="L8" s="443"/>
      <c r="M8" s="443"/>
      <c r="N8" s="443"/>
      <c r="O8" s="443"/>
    </row>
    <row r="9" spans="2:15" ht="18.5">
      <c r="B9" s="412" t="s">
        <v>197</v>
      </c>
      <c r="C9" s="792"/>
      <c r="D9" s="793"/>
      <c r="E9" s="618"/>
      <c r="F9" s="620"/>
      <c r="G9" s="436">
        <f t="shared" si="0"/>
        <v>0</v>
      </c>
      <c r="H9" s="426"/>
      <c r="I9" s="423"/>
      <c r="J9" s="427"/>
    </row>
    <row r="10" spans="2:15" ht="18.5">
      <c r="B10" s="412" t="s">
        <v>223</v>
      </c>
      <c r="C10" s="792"/>
      <c r="D10" s="793"/>
      <c r="E10" s="618"/>
      <c r="F10" s="620"/>
      <c r="G10" s="436">
        <f t="shared" si="0"/>
        <v>0</v>
      </c>
      <c r="H10" s="421"/>
      <c r="I10" s="424"/>
      <c r="J10" s="427"/>
    </row>
    <row r="11" spans="2:15" ht="18.5">
      <c r="B11" s="412" t="s">
        <v>224</v>
      </c>
      <c r="C11" s="792"/>
      <c r="D11" s="793"/>
      <c r="E11" s="618"/>
      <c r="F11" s="620"/>
      <c r="G11" s="436">
        <f t="shared" si="0"/>
        <v>0</v>
      </c>
      <c r="H11" s="421"/>
      <c r="I11" s="424"/>
      <c r="J11" s="427"/>
    </row>
    <row r="12" spans="2:15" ht="18.5">
      <c r="B12" s="412" t="s">
        <v>185</v>
      </c>
      <c r="C12" s="792"/>
      <c r="D12" s="793"/>
      <c r="E12" s="618"/>
      <c r="F12" s="620"/>
      <c r="G12" s="436">
        <f t="shared" si="0"/>
        <v>0</v>
      </c>
      <c r="H12" s="421"/>
      <c r="I12" s="427"/>
      <c r="J12" s="427"/>
    </row>
    <row r="13" spans="2:15" ht="18">
      <c r="B13" s="412" t="s">
        <v>34</v>
      </c>
      <c r="C13" s="792"/>
      <c r="D13" s="793"/>
      <c r="E13" s="618"/>
      <c r="F13" s="620"/>
      <c r="G13" s="436">
        <f t="shared" si="0"/>
        <v>0</v>
      </c>
    </row>
    <row r="14" spans="2:15" ht="18">
      <c r="B14" s="412" t="s">
        <v>220</v>
      </c>
      <c r="C14" s="792"/>
      <c r="D14" s="793"/>
      <c r="E14" s="619"/>
      <c r="F14" s="620"/>
      <c r="G14" s="436">
        <f t="shared" si="0"/>
        <v>0</v>
      </c>
    </row>
    <row r="15" spans="2:15" ht="18">
      <c r="B15" s="412" t="s">
        <v>186</v>
      </c>
      <c r="C15" s="792"/>
      <c r="D15" s="793"/>
      <c r="E15" s="620"/>
      <c r="F15" s="620"/>
      <c r="G15" s="436" t="e">
        <f>E15/F15/62.4</f>
        <v>#DIV/0!</v>
      </c>
    </row>
    <row r="16" spans="2:15" ht="18.5" thickBot="1">
      <c r="B16" s="414" t="s">
        <v>187</v>
      </c>
      <c r="C16" s="798"/>
      <c r="D16" s="799"/>
      <c r="E16" s="625"/>
      <c r="F16" s="626"/>
      <c r="G16" s="437">
        <f>27*C16</f>
        <v>0</v>
      </c>
    </row>
    <row r="17" spans="2:12" ht="18">
      <c r="B17" s="415" t="s">
        <v>66</v>
      </c>
      <c r="C17" s="597"/>
      <c r="D17" s="597"/>
      <c r="E17" s="598">
        <f>SUM(E7:E15)</f>
        <v>0</v>
      </c>
      <c r="F17" s="599" t="s">
        <v>201</v>
      </c>
      <c r="G17" s="600" t="e">
        <f>SUM(G7:G16)</f>
        <v>#DIV/0!</v>
      </c>
      <c r="H17" s="409" t="s">
        <v>217</v>
      </c>
      <c r="I17" s="409"/>
      <c r="J17" s="413"/>
      <c r="K17" s="409"/>
      <c r="L17" s="409"/>
    </row>
    <row r="18" spans="2:12" ht="18">
      <c r="B18" s="408"/>
      <c r="C18" s="581"/>
      <c r="D18" s="581"/>
      <c r="E18" s="601" t="e">
        <f>E17/G17</f>
        <v>#DIV/0!</v>
      </c>
      <c r="F18" s="602" t="s">
        <v>202</v>
      </c>
      <c r="G18" s="603"/>
      <c r="I18" s="409"/>
      <c r="J18" s="409"/>
      <c r="K18" s="409"/>
      <c r="L18" s="409"/>
    </row>
    <row r="19" spans="2:12" ht="18">
      <c r="C19" s="409"/>
      <c r="D19" s="409"/>
      <c r="E19" s="439"/>
      <c r="F19" s="440"/>
      <c r="G19" s="438"/>
      <c r="I19" s="409"/>
      <c r="J19" s="409"/>
      <c r="K19" s="409"/>
      <c r="L19" s="409"/>
    </row>
    <row r="20" spans="2:12" ht="18">
      <c r="B20" s="408" t="s">
        <v>218</v>
      </c>
      <c r="C20" s="409"/>
      <c r="D20" s="409"/>
      <c r="E20" s="444" t="s">
        <v>229</v>
      </c>
      <c r="F20" s="421"/>
      <c r="G20" s="409"/>
      <c r="I20" s="409"/>
      <c r="J20" s="409"/>
      <c r="K20" s="409"/>
      <c r="L20" s="409"/>
    </row>
    <row r="21" spans="2:12" ht="18.5" thickBot="1">
      <c r="B21" s="604"/>
      <c r="C21" s="605"/>
      <c r="D21" s="606"/>
      <c r="E21" s="607"/>
      <c r="F21" s="608"/>
      <c r="G21" s="606"/>
      <c r="H21" s="607"/>
      <c r="I21" s="606"/>
      <c r="J21" s="606"/>
      <c r="K21" s="606"/>
      <c r="L21" s="606"/>
    </row>
    <row r="22" spans="2:12" ht="18.5">
      <c r="B22" s="609" t="s">
        <v>209</v>
      </c>
      <c r="C22" s="588" t="e">
        <f>E15/(E12+E13)</f>
        <v>#DIV/0!</v>
      </c>
      <c r="D22" s="589"/>
      <c r="E22" s="590" t="s">
        <v>196</v>
      </c>
      <c r="F22" s="591" t="e">
        <f>G7/(SUM($G$7:$G$11))</f>
        <v>#DIV/0!</v>
      </c>
      <c r="G22" s="606"/>
      <c r="H22" s="607"/>
      <c r="I22" s="606"/>
      <c r="J22" s="606"/>
      <c r="K22" s="606"/>
      <c r="L22" s="606"/>
    </row>
    <row r="23" spans="2:12" ht="18.5">
      <c r="B23" s="610" t="s">
        <v>214</v>
      </c>
      <c r="C23" s="592" t="e">
        <f>(E13+E14)/(E12+E13+E14)</f>
        <v>#DIV/0!</v>
      </c>
      <c r="D23" s="589"/>
      <c r="E23" s="590" t="s">
        <v>198</v>
      </c>
      <c r="F23" s="591" t="e">
        <f>G8/(SUM($G$7:$G$11))</f>
        <v>#DIV/0!</v>
      </c>
      <c r="G23" s="606"/>
      <c r="H23" s="611"/>
      <c r="I23" s="790" t="s">
        <v>222</v>
      </c>
      <c r="J23" s="790"/>
      <c r="K23" s="596" t="e">
        <f>SUM(D44:D46)</f>
        <v>#DIV/0!</v>
      </c>
      <c r="L23" s="576" t="e">
        <f>IF(K23&gt;=0.2,"YES","NO")</f>
        <v>#DIV/0!</v>
      </c>
    </row>
    <row r="24" spans="2:12" ht="18.5">
      <c r="B24" s="612" t="s">
        <v>210</v>
      </c>
      <c r="C24" s="593">
        <f>E13+E12+E14</f>
        <v>0</v>
      </c>
      <c r="D24" s="589" t="s">
        <v>212</v>
      </c>
      <c r="E24" s="590" t="s">
        <v>197</v>
      </c>
      <c r="F24" s="591" t="e">
        <f>G9/(SUM($G$7:$G$11))</f>
        <v>#DIV/0!</v>
      </c>
      <c r="G24" s="606"/>
      <c r="H24" s="611"/>
      <c r="I24" s="804" t="s">
        <v>226</v>
      </c>
      <c r="J24" s="804"/>
      <c r="K24" s="804"/>
      <c r="L24" s="584"/>
    </row>
    <row r="25" spans="2:12" ht="18.5">
      <c r="B25" s="612" t="s">
        <v>211</v>
      </c>
      <c r="C25" s="594">
        <f>C24/94</f>
        <v>0</v>
      </c>
      <c r="D25" s="589" t="s">
        <v>213</v>
      </c>
      <c r="E25" s="590" t="s">
        <v>223</v>
      </c>
      <c r="F25" s="591" t="e">
        <f>G10/(SUM($G$7:$G$11))</f>
        <v>#DIV/0!</v>
      </c>
      <c r="G25" s="606"/>
      <c r="H25" s="611"/>
      <c r="I25" s="790" t="s">
        <v>219</v>
      </c>
      <c r="J25" s="790"/>
      <c r="K25" s="596" t="e">
        <f>SUM(D46:D49)</f>
        <v>#DIV/0!</v>
      </c>
      <c r="L25" s="584"/>
    </row>
    <row r="26" spans="2:12" ht="28.5" customHeight="1" thickBot="1">
      <c r="B26" s="613" t="s">
        <v>228</v>
      </c>
      <c r="C26" s="595" t="e">
        <f>(G12+G13+G14+G15)/G17</f>
        <v>#DIV/0!</v>
      </c>
      <c r="D26" s="581"/>
      <c r="E26" s="590" t="s">
        <v>224</v>
      </c>
      <c r="F26" s="591" t="e">
        <f>G11/(SUM($G$7:$G$11))</f>
        <v>#DIV/0!</v>
      </c>
      <c r="G26" s="607"/>
      <c r="H26" s="611"/>
      <c r="I26" s="803" t="s">
        <v>225</v>
      </c>
      <c r="J26" s="803"/>
      <c r="K26" s="803"/>
      <c r="L26" s="576" t="e">
        <f>IF(AND(0.24&lt;=K25, K25&lt;=0.34),"YES","NO")</f>
        <v>#DIV/0!</v>
      </c>
    </row>
    <row r="27" spans="2:12" ht="34.9" customHeight="1">
      <c r="B27" s="614" t="s">
        <v>203</v>
      </c>
      <c r="C27" s="606"/>
      <c r="D27" s="606"/>
      <c r="E27" s="607"/>
      <c r="F27" s="607"/>
      <c r="G27" s="607"/>
      <c r="H27" s="611"/>
      <c r="I27" s="803" t="s">
        <v>227</v>
      </c>
      <c r="J27" s="803"/>
      <c r="K27" s="803"/>
      <c r="L27" s="576" t="e">
        <f>IF(AND(0.25&lt;=K25, K25&lt;=0.4),"YES","NO")</f>
        <v>#DIV/0!</v>
      </c>
    </row>
    <row r="28" spans="2:12" ht="18.5" thickBot="1">
      <c r="H28" s="584"/>
      <c r="I28" s="581"/>
      <c r="J28" s="581"/>
      <c r="K28" s="581"/>
      <c r="L28" s="581"/>
    </row>
    <row r="29" spans="2:12" ht="18">
      <c r="B29" s="428" t="s">
        <v>216</v>
      </c>
      <c r="C29" s="800" t="s">
        <v>204</v>
      </c>
      <c r="D29" s="800"/>
      <c r="E29" s="800" t="s">
        <v>215</v>
      </c>
      <c r="F29" s="805"/>
      <c r="H29" s="584"/>
      <c r="I29" s="581"/>
      <c r="J29" s="581"/>
      <c r="K29" s="581"/>
      <c r="L29" s="581"/>
    </row>
    <row r="30" spans="2:12" ht="18">
      <c r="B30" s="429" t="s">
        <v>205</v>
      </c>
      <c r="C30" s="801"/>
      <c r="D30" s="801"/>
      <c r="E30" s="801"/>
      <c r="F30" s="806"/>
      <c r="H30" s="584"/>
      <c r="I30" s="581"/>
      <c r="J30" s="581"/>
      <c r="K30" s="581"/>
      <c r="L30" s="581"/>
    </row>
    <row r="31" spans="2:12" ht="18">
      <c r="B31" s="429" t="s">
        <v>206</v>
      </c>
      <c r="C31" s="801"/>
      <c r="D31" s="801"/>
      <c r="E31" s="801"/>
      <c r="F31" s="806"/>
      <c r="H31" s="584"/>
      <c r="I31" s="581"/>
      <c r="J31" s="581"/>
      <c r="K31" s="581"/>
      <c r="L31" s="581"/>
    </row>
    <row r="32" spans="2:12" ht="18.75" customHeight="1">
      <c r="B32" s="429" t="s">
        <v>207</v>
      </c>
      <c r="C32" s="801"/>
      <c r="D32" s="801"/>
      <c r="E32" s="801"/>
      <c r="F32" s="806"/>
      <c r="H32" s="584"/>
      <c r="I32" s="581"/>
      <c r="J32" s="581"/>
      <c r="K32" s="581"/>
      <c r="L32" s="581"/>
    </row>
    <row r="33" spans="2:19" ht="20.149999999999999" customHeight="1" thickBot="1">
      <c r="B33" s="430" t="s">
        <v>208</v>
      </c>
      <c r="C33" s="807"/>
      <c r="D33" s="807"/>
      <c r="E33" s="807"/>
      <c r="F33" s="808"/>
      <c r="I33" s="409"/>
      <c r="J33" s="413"/>
      <c r="K33" s="409"/>
      <c r="L33" s="409"/>
    </row>
    <row r="34" spans="2:19" ht="20.149999999999999" customHeight="1">
      <c r="B34" s="607"/>
      <c r="C34" s="607"/>
      <c r="D34" s="607"/>
      <c r="E34" s="607"/>
      <c r="F34" s="607"/>
      <c r="G34" s="607"/>
      <c r="H34" s="607"/>
      <c r="I34" s="409"/>
      <c r="J34" s="413"/>
      <c r="K34" s="409"/>
      <c r="L34" s="409"/>
    </row>
    <row r="35" spans="2:19" ht="18">
      <c r="B35" s="614" t="s">
        <v>188</v>
      </c>
      <c r="C35" s="606"/>
      <c r="D35" s="606"/>
      <c r="E35" s="615"/>
      <c r="F35" s="606"/>
      <c r="G35" s="606"/>
      <c r="H35" s="606"/>
      <c r="I35" s="409"/>
      <c r="J35" s="409"/>
      <c r="K35" s="409"/>
      <c r="L35" s="409"/>
      <c r="P35" s="12"/>
      <c r="Q35" s="12"/>
      <c r="R35" s="12"/>
      <c r="S35" s="12"/>
    </row>
    <row r="36" spans="2:19" ht="18.5" thickBot="1">
      <c r="B36" s="606"/>
      <c r="C36" s="606"/>
      <c r="D36" s="606"/>
      <c r="E36" s="606"/>
      <c r="F36" s="606"/>
      <c r="G36" s="606"/>
      <c r="H36" s="616"/>
      <c r="I36" s="409"/>
      <c r="J36" s="409"/>
      <c r="K36" s="409"/>
      <c r="L36" s="409"/>
      <c r="P36" s="12"/>
      <c r="Q36" s="12"/>
      <c r="R36" s="12"/>
      <c r="S36" s="12"/>
    </row>
    <row r="37" spans="2:19" ht="35">
      <c r="B37" s="621" t="s">
        <v>16</v>
      </c>
      <c r="C37" s="622" t="s">
        <v>189</v>
      </c>
      <c r="D37" s="622" t="s">
        <v>200</v>
      </c>
      <c r="E37" s="622" t="s">
        <v>192</v>
      </c>
      <c r="F37" s="623" t="s">
        <v>193</v>
      </c>
      <c r="G37" s="624"/>
      <c r="H37" s="607"/>
      <c r="P37" s="12"/>
      <c r="Q37" s="12"/>
      <c r="R37" s="12"/>
      <c r="S37" s="12"/>
    </row>
    <row r="38" spans="2:19" ht="18">
      <c r="B38" s="573" t="s">
        <v>0</v>
      </c>
      <c r="C38" s="574" t="e">
        <f>('Sieve Analysis'!C7*$G$7/(SUM($G$7:$G$11)))+('Sieve Analysis'!D7*$G$8/(SUM($G$7:$G$11)))+('Sieve Analysis'!E7*$G$9/(SUM($G$7:$G$11)))+('Sieve Analysis'!F7*$G$10/(SUM($G$7:$G$11)))+('Sieve Analysis'!G7*'Tarantula Curve Mix Design'!$G$11/(SUM('Tarantula Curve Mix Design'!$G$7:$G$11)))</f>
        <v>#DIV/0!</v>
      </c>
      <c r="D38" s="574" t="e">
        <f>IF($C$38=0, 0,1-C38)</f>
        <v>#DIV/0!</v>
      </c>
      <c r="E38" s="574">
        <v>0</v>
      </c>
      <c r="F38" s="575">
        <v>0</v>
      </c>
      <c r="G38" s="576" t="e">
        <f t="shared" ref="G38:G49" si="1">IF(AND(F38&lt;=D38,D38&lt;=E38),"YES","NO")</f>
        <v>#DIV/0!</v>
      </c>
      <c r="H38" s="607"/>
      <c r="P38" s="12"/>
      <c r="Q38" s="12"/>
      <c r="R38" s="12"/>
      <c r="S38" s="12"/>
    </row>
    <row r="39" spans="2:19" ht="18">
      <c r="B39" s="577" t="s">
        <v>3</v>
      </c>
      <c r="C39" s="574" t="e">
        <f>('Sieve Analysis'!C8*$G$7/(SUM($G$7:$G$11)))+('Sieve Analysis'!D8*$G$8/(SUM($G$7:$G$11)))+('Sieve Analysis'!E8*$G$9/(SUM($G$7:$G$11)))+('Sieve Analysis'!F8*$G$10/(SUM($G$7:$G$11)))+('Sieve Analysis'!G8*'Tarantula Curve Mix Design'!$G$11/(SUM('Tarantula Curve Mix Design'!$G$7:$G$11)))</f>
        <v>#DIV/0!</v>
      </c>
      <c r="D39" s="574" t="e">
        <f t="shared" ref="D39:D49" si="2">IF($C$38=0, 0, C38-C39)</f>
        <v>#DIV/0!</v>
      </c>
      <c r="E39" s="574">
        <v>0.16</v>
      </c>
      <c r="F39" s="575">
        <v>0</v>
      </c>
      <c r="G39" s="576" t="e">
        <f t="shared" si="1"/>
        <v>#DIV/0!</v>
      </c>
      <c r="H39" s="607"/>
      <c r="M39" s="12"/>
      <c r="N39" s="12"/>
      <c r="O39" s="12"/>
      <c r="P39" s="12"/>
      <c r="Q39" s="12"/>
      <c r="R39" s="12"/>
      <c r="S39" s="12"/>
    </row>
    <row r="40" spans="2:19" ht="18">
      <c r="B40" s="577" t="s">
        <v>6</v>
      </c>
      <c r="C40" s="574" t="e">
        <f>('Sieve Analysis'!C9*$G$7/(SUM($G$7:$G$11)))+('Sieve Analysis'!D9*$G$8/(SUM($G$7:$G$11)))+('Sieve Analysis'!E9*$G$9/(SUM($G$7:$G$11)))+('Sieve Analysis'!F9*$G$10/(SUM($G$7:$G$11)))+('Sieve Analysis'!G9*'Tarantula Curve Mix Design'!$G$11/(SUM('Tarantula Curve Mix Design'!$G$7:$G$11)))</f>
        <v>#DIV/0!</v>
      </c>
      <c r="D40" s="574" t="e">
        <f t="shared" si="2"/>
        <v>#DIV/0!</v>
      </c>
      <c r="E40" s="574">
        <v>0.2</v>
      </c>
      <c r="F40" s="575">
        <v>0</v>
      </c>
      <c r="G40" s="576" t="e">
        <f t="shared" si="1"/>
        <v>#DIV/0!</v>
      </c>
      <c r="H40" s="607"/>
      <c r="M40" s="12"/>
      <c r="N40" s="12"/>
      <c r="O40" s="12"/>
      <c r="P40" s="12"/>
      <c r="Q40" s="12"/>
      <c r="R40" s="12"/>
      <c r="S40" s="12"/>
    </row>
    <row r="41" spans="2:19" ht="20.25" customHeight="1">
      <c r="B41" s="577" t="s">
        <v>1</v>
      </c>
      <c r="C41" s="574" t="e">
        <f>('Sieve Analysis'!C10*$G$7/(SUM($G$7:$G$11)))+('Sieve Analysis'!D10*$G$8/(SUM($G$7:$G$11)))+('Sieve Analysis'!E10*$G$9/(SUM($G$7:$G$11)))+('Sieve Analysis'!F10*$G$10/(SUM($G$7:$G$11)))+('Sieve Analysis'!G10*'Tarantula Curve Mix Design'!$G$11/(SUM('Tarantula Curve Mix Design'!$G$7:$G$11)))</f>
        <v>#DIV/0!</v>
      </c>
      <c r="D41" s="574" t="e">
        <f t="shared" si="2"/>
        <v>#DIV/0!</v>
      </c>
      <c r="E41" s="574">
        <v>0.2</v>
      </c>
      <c r="F41" s="575">
        <v>0.04</v>
      </c>
      <c r="G41" s="576" t="e">
        <f t="shared" si="1"/>
        <v>#DIV/0!</v>
      </c>
      <c r="H41" s="607"/>
      <c r="M41" s="12"/>
      <c r="N41" s="12"/>
      <c r="O41" s="12"/>
      <c r="P41" s="12"/>
      <c r="Q41" s="12"/>
      <c r="R41" s="12"/>
      <c r="S41" s="12"/>
    </row>
    <row r="42" spans="2:19" ht="18">
      <c r="B42" s="577" t="s">
        <v>4</v>
      </c>
      <c r="C42" s="574" t="e">
        <f>('Sieve Analysis'!C11*$G$7/(SUM($G$7:$G$11)))+('Sieve Analysis'!D11*$G$8/(SUM($G$7:$G$11)))+('Sieve Analysis'!E11*$G$9/(SUM($G$7:$G$11)))+('Sieve Analysis'!F11*$G$10/(SUM($G$7:$G$11)))+('Sieve Analysis'!G11*'Tarantula Curve Mix Design'!$G$11/(SUM('Tarantula Curve Mix Design'!$G$7:$G$11)))</f>
        <v>#DIV/0!</v>
      </c>
      <c r="D42" s="574" t="e">
        <f t="shared" si="2"/>
        <v>#DIV/0!</v>
      </c>
      <c r="E42" s="574">
        <v>0.2</v>
      </c>
      <c r="F42" s="575">
        <v>0.04</v>
      </c>
      <c r="G42" s="576" t="e">
        <f t="shared" si="1"/>
        <v>#DIV/0!</v>
      </c>
      <c r="H42" s="607"/>
      <c r="M42" s="12"/>
      <c r="N42" s="12"/>
      <c r="O42" s="12"/>
      <c r="P42" s="12"/>
      <c r="Q42" s="12"/>
      <c r="R42" s="12"/>
      <c r="S42" s="12"/>
    </row>
    <row r="43" spans="2:19" ht="18">
      <c r="B43" s="577" t="s">
        <v>2</v>
      </c>
      <c r="C43" s="574" t="e">
        <f>('Sieve Analysis'!C12*$G$7/(SUM($G$7:$G$11)))+('Sieve Analysis'!D12*$G$8/(SUM($G$7:$G$11)))+('Sieve Analysis'!E12*$G$9/(SUM($G$7:$G$11)))+('Sieve Analysis'!F12*$G$10/(SUM($G$7:$G$11)))+('Sieve Analysis'!G12*'Tarantula Curve Mix Design'!$G$11/(SUM('Tarantula Curve Mix Design'!$G$7:$G$11)))</f>
        <v>#DIV/0!</v>
      </c>
      <c r="D43" s="574" t="e">
        <f t="shared" si="2"/>
        <v>#DIV/0!</v>
      </c>
      <c r="E43" s="574">
        <v>0.2</v>
      </c>
      <c r="F43" s="575">
        <v>0.04</v>
      </c>
      <c r="G43" s="576" t="e">
        <f t="shared" si="1"/>
        <v>#DIV/0!</v>
      </c>
      <c r="H43" s="607"/>
      <c r="M43" s="12"/>
      <c r="N43" s="12"/>
      <c r="O43" s="12"/>
      <c r="P43" s="12"/>
      <c r="Q43" s="12"/>
      <c r="R43" s="12"/>
      <c r="S43" s="12"/>
    </row>
    <row r="44" spans="2:19" ht="18">
      <c r="B44" s="577" t="s">
        <v>5</v>
      </c>
      <c r="C44" s="574" t="e">
        <f>('Sieve Analysis'!C13*$G$7/(SUM($G$7:$G$11)))+('Sieve Analysis'!D13*$G$8/(SUM($G$7:$G$11)))+('Sieve Analysis'!E13*$G$9/(SUM($G$7:$G$11)))+('Sieve Analysis'!F13*$G$10/(SUM($G$7:$G$11)))+('Sieve Analysis'!G13*'Tarantula Curve Mix Design'!$G$11/(SUM('Tarantula Curve Mix Design'!$G$7:$G$11)))</f>
        <v>#DIV/0!</v>
      </c>
      <c r="D44" s="574" t="e">
        <f t="shared" si="2"/>
        <v>#DIV/0!</v>
      </c>
      <c r="E44" s="574">
        <v>0.12</v>
      </c>
      <c r="F44" s="575">
        <v>0</v>
      </c>
      <c r="G44" s="576" t="e">
        <f t="shared" si="1"/>
        <v>#DIV/0!</v>
      </c>
      <c r="H44" s="607"/>
      <c r="M44" s="12"/>
      <c r="N44" s="12"/>
      <c r="O44" s="12"/>
      <c r="P44" s="12"/>
      <c r="Q44" s="12"/>
      <c r="R44" s="12"/>
      <c r="S44" s="12"/>
    </row>
    <row r="45" spans="2:19" ht="18">
      <c r="B45" s="577" t="s">
        <v>7</v>
      </c>
      <c r="C45" s="574" t="e">
        <f>('Sieve Analysis'!C14*$G$7/(SUM($G$7:$G$11)))+('Sieve Analysis'!D14*$G$8/(SUM($G$7:$G$11)))+('Sieve Analysis'!E14*$G$9/(SUM($G$7:$G$11)))+('Sieve Analysis'!F14*$G$10/(SUM($G$7:$G$11)))+('Sieve Analysis'!G14*'Tarantula Curve Mix Design'!$G$11/(SUM('Tarantula Curve Mix Design'!$G$7:$G$11)))</f>
        <v>#DIV/0!</v>
      </c>
      <c r="D45" s="574" t="e">
        <f t="shared" si="2"/>
        <v>#DIV/0!</v>
      </c>
      <c r="E45" s="574">
        <v>0.12</v>
      </c>
      <c r="F45" s="575">
        <v>0</v>
      </c>
      <c r="G45" s="576" t="e">
        <f t="shared" si="1"/>
        <v>#DIV/0!</v>
      </c>
      <c r="H45" s="607"/>
      <c r="M45" s="12"/>
      <c r="N45" s="12"/>
      <c r="O45" s="12"/>
      <c r="P45" s="12"/>
      <c r="Q45" s="12"/>
      <c r="R45" s="12"/>
      <c r="S45" s="12"/>
    </row>
    <row r="46" spans="2:19" ht="18">
      <c r="B46" s="577" t="s">
        <v>8</v>
      </c>
      <c r="C46" s="574" t="e">
        <f>('Sieve Analysis'!C15*$G$7/(SUM($G$7:$G$11)))+('Sieve Analysis'!D15*$G$8/(SUM($G$7:$G$11)))+('Sieve Analysis'!E15*$G$9/(SUM($G$7:$G$11)))+('Sieve Analysis'!F15*$G$10/(SUM($G$7:$G$11)))+('Sieve Analysis'!G15*'Tarantula Curve Mix Design'!$G$11/(SUM('Tarantula Curve Mix Design'!$G$7:$G$11)))</f>
        <v>#DIV/0!</v>
      </c>
      <c r="D46" s="574" t="e">
        <f t="shared" si="2"/>
        <v>#DIV/0!</v>
      </c>
      <c r="E46" s="574">
        <v>0.2</v>
      </c>
      <c r="F46" s="575">
        <v>0.04</v>
      </c>
      <c r="G46" s="576" t="e">
        <f t="shared" si="1"/>
        <v>#DIV/0!</v>
      </c>
      <c r="H46" s="607"/>
      <c r="M46" s="12"/>
      <c r="N46" s="12"/>
      <c r="O46" s="12"/>
      <c r="P46" s="12"/>
      <c r="Q46" s="12"/>
      <c r="R46" s="12"/>
      <c r="S46" s="12"/>
    </row>
    <row r="47" spans="2:19" ht="18">
      <c r="B47" s="577" t="s">
        <v>9</v>
      </c>
      <c r="C47" s="574" t="e">
        <f>('Sieve Analysis'!C16*$G$7/(SUM($G$7:$G$11)))+('Sieve Analysis'!D16*$G$8/(SUM($G$7:$G$11)))+('Sieve Analysis'!E16*$G$9/(SUM($G$7:$G$11)))+('Sieve Analysis'!F16*$G$10/(SUM($G$7:$G$11)))+('Sieve Analysis'!G16*'Tarantula Curve Mix Design'!$G$11/(SUM('Tarantula Curve Mix Design'!$G$7:$G$11)))</f>
        <v>#DIV/0!</v>
      </c>
      <c r="D47" s="574" t="e">
        <f t="shared" si="2"/>
        <v>#DIV/0!</v>
      </c>
      <c r="E47" s="574">
        <v>0.2</v>
      </c>
      <c r="F47" s="575">
        <v>0.04</v>
      </c>
      <c r="G47" s="576" t="e">
        <f t="shared" si="1"/>
        <v>#DIV/0!</v>
      </c>
      <c r="H47" s="607"/>
      <c r="M47" s="12"/>
      <c r="N47" s="12"/>
      <c r="O47" s="142"/>
      <c r="P47" s="142"/>
      <c r="Q47" s="12"/>
      <c r="R47" s="12"/>
      <c r="S47" s="12"/>
    </row>
    <row r="48" spans="2:19" ht="18">
      <c r="B48" s="577" t="s">
        <v>10</v>
      </c>
      <c r="C48" s="574" t="e">
        <f>('Sieve Analysis'!C17*$G$7/(SUM($G$7:$G$11)))+('Sieve Analysis'!D17*$G$8/(SUM($G$7:$G$11)))+('Sieve Analysis'!E17*$G$9/(SUM($G$7:$G$11)))+('Sieve Analysis'!F17*$G$10/(SUM($G$7:$G$11)))+('Sieve Analysis'!G17*'Tarantula Curve Mix Design'!$G$11/(SUM('Tarantula Curve Mix Design'!$G$7:$G$11)))</f>
        <v>#DIV/0!</v>
      </c>
      <c r="D48" s="574" t="e">
        <f t="shared" si="2"/>
        <v>#DIV/0!</v>
      </c>
      <c r="E48" s="574">
        <v>0.1</v>
      </c>
      <c r="F48" s="575">
        <v>0</v>
      </c>
      <c r="G48" s="576" t="e">
        <f t="shared" si="1"/>
        <v>#DIV/0!</v>
      </c>
      <c r="H48" s="607"/>
      <c r="M48" s="12"/>
      <c r="N48" s="12"/>
      <c r="O48" s="142"/>
      <c r="P48" s="142"/>
      <c r="Q48" s="12"/>
      <c r="R48" s="12"/>
      <c r="S48" s="12"/>
    </row>
    <row r="49" spans="2:12" ht="18.5" thickBot="1">
      <c r="B49" s="578" t="s">
        <v>12</v>
      </c>
      <c r="C49" s="574" t="e">
        <f>('Sieve Analysis'!C18*$G$7/(SUM($G$7:$G$11)))+('Sieve Analysis'!D18*$G$8/(SUM($G$7:$G$11)))+('Sieve Analysis'!E18*$G$9/(SUM($G$7:$G$11)))+('Sieve Analysis'!F18*$G$10/(SUM($G$7:$G$11)))+('Sieve Analysis'!G18*'Tarantula Curve Mix Design'!$G$11/(SUM('Tarantula Curve Mix Design'!$G$7:$G$11)))</f>
        <v>#DIV/0!</v>
      </c>
      <c r="D49" s="579" t="e">
        <f t="shared" si="2"/>
        <v>#DIV/0!</v>
      </c>
      <c r="E49" s="579">
        <v>0.02</v>
      </c>
      <c r="F49" s="580">
        <v>0</v>
      </c>
      <c r="G49" s="576" t="e">
        <f t="shared" si="1"/>
        <v>#DIV/0!</v>
      </c>
      <c r="H49" s="607"/>
    </row>
    <row r="50" spans="2:12" ht="18">
      <c r="B50" s="581"/>
      <c r="C50" s="582" t="s">
        <v>19</v>
      </c>
      <c r="D50" s="583" t="e">
        <f>SUM(D38:D49)</f>
        <v>#DIV/0!</v>
      </c>
      <c r="E50" s="581"/>
      <c r="F50" s="581"/>
      <c r="G50" s="584"/>
      <c r="H50" s="607"/>
      <c r="L50" s="409"/>
    </row>
    <row r="51" spans="2:12" ht="18">
      <c r="B51" s="581"/>
      <c r="C51" s="582"/>
      <c r="D51" s="585"/>
      <c r="E51" s="581"/>
      <c r="F51" s="581"/>
      <c r="G51" s="584"/>
      <c r="H51" s="607"/>
      <c r="L51" s="409"/>
    </row>
    <row r="52" spans="2:12" ht="18">
      <c r="B52" s="790" t="s">
        <v>222</v>
      </c>
      <c r="C52" s="790"/>
      <c r="D52" s="586" t="e">
        <f>SUM(D44:D46)</f>
        <v>#DIV/0!</v>
      </c>
      <c r="E52" s="576" t="e">
        <f>IF(D52&gt;=0.15,"YES","NO")</f>
        <v>#DIV/0!</v>
      </c>
      <c r="F52" s="581"/>
      <c r="G52" s="584"/>
      <c r="H52" s="607"/>
      <c r="L52" s="409"/>
    </row>
    <row r="53" spans="2:12" ht="18">
      <c r="B53" s="791" t="s">
        <v>221</v>
      </c>
      <c r="C53" s="791"/>
      <c r="D53" s="791"/>
      <c r="E53" s="584"/>
      <c r="F53" s="584"/>
      <c r="G53" s="587"/>
      <c r="H53" s="606"/>
      <c r="I53" s="409"/>
      <c r="J53" s="409"/>
      <c r="L53" s="409"/>
    </row>
    <row r="54" spans="2:12" ht="18">
      <c r="B54" s="790" t="s">
        <v>219</v>
      </c>
      <c r="C54" s="790"/>
      <c r="D54" s="586" t="e">
        <f>SUM(D46:D49)</f>
        <v>#DIV/0!</v>
      </c>
      <c r="E54" s="584"/>
      <c r="F54" s="584"/>
      <c r="G54" s="584"/>
      <c r="H54" s="606"/>
      <c r="I54" s="409"/>
      <c r="J54" s="409"/>
      <c r="K54" s="409"/>
      <c r="L54" s="409"/>
    </row>
    <row r="55" spans="2:12" ht="17.5">
      <c r="B55" s="803" t="s">
        <v>225</v>
      </c>
      <c r="C55" s="803"/>
      <c r="D55" s="803"/>
      <c r="E55" s="576" t="e">
        <f>IF(AND(0.24&lt;=D54, D54&lt;=0.34),"YES","NO")</f>
        <v>#DIV/0!</v>
      </c>
      <c r="F55" s="584"/>
      <c r="G55" s="584"/>
      <c r="H55" s="607"/>
    </row>
    <row r="56" spans="2:12" ht="17.5">
      <c r="B56" s="803" t="s">
        <v>227</v>
      </c>
      <c r="C56" s="803"/>
      <c r="D56" s="803"/>
      <c r="E56" s="576" t="e">
        <f>IF(AND(0.25&lt;=K25, K25&lt;=0.4),"YES","NO")</f>
        <v>#DIV/0!</v>
      </c>
      <c r="F56" s="584"/>
      <c r="G56" s="584"/>
      <c r="H56" s="607"/>
    </row>
    <row r="57" spans="2:12">
      <c r="B57" s="611"/>
      <c r="C57" s="611"/>
      <c r="D57" s="611"/>
      <c r="E57" s="611"/>
      <c r="F57" s="611"/>
      <c r="G57" s="611"/>
      <c r="H57" s="607"/>
    </row>
    <row r="58" spans="2:12">
      <c r="D58" s="12"/>
      <c r="E58" s="404"/>
      <c r="F58" s="12"/>
      <c r="G58" s="12"/>
      <c r="H58" s="12"/>
      <c r="L58" s="425"/>
    </row>
    <row r="59" spans="2:12">
      <c r="D59" s="12"/>
      <c r="E59" s="12"/>
      <c r="F59" s="12"/>
      <c r="G59" s="12"/>
      <c r="H59" s="12"/>
    </row>
    <row r="60" spans="2:12">
      <c r="D60" s="12"/>
      <c r="E60" s="12"/>
      <c r="F60" s="12"/>
      <c r="G60" s="12"/>
      <c r="H60" s="12"/>
    </row>
  </sheetData>
  <sheetProtection algorithmName="SHA-512" hashValue="pBLyov4d+8OAiCZf9tUoeLxV9TMyrwFYIm8kx467/cIPul7psD3SIAKer5bwZZ2a8LpwJ9LEu2Ljv3oBQEYWEQ==" saltValue="FnmXnEa475YHuofvHNaNXA==" spinCount="100000" sheet="1" formatCells="0" selectLockedCells="1"/>
  <mergeCells count="32">
    <mergeCell ref="C5:F5"/>
    <mergeCell ref="B56:D56"/>
    <mergeCell ref="C11:D11"/>
    <mergeCell ref="I23:J23"/>
    <mergeCell ref="I24:K24"/>
    <mergeCell ref="I25:J25"/>
    <mergeCell ref="I26:K26"/>
    <mergeCell ref="I27:K27"/>
    <mergeCell ref="B55:D55"/>
    <mergeCell ref="E29:F29"/>
    <mergeCell ref="E30:F30"/>
    <mergeCell ref="E31:F31"/>
    <mergeCell ref="E32:F32"/>
    <mergeCell ref="E33:F33"/>
    <mergeCell ref="B54:C54"/>
    <mergeCell ref="C33:D33"/>
    <mergeCell ref="B52:C52"/>
    <mergeCell ref="B53:D53"/>
    <mergeCell ref="C15:D15"/>
    <mergeCell ref="C6:D6"/>
    <mergeCell ref="C7:D7"/>
    <mergeCell ref="C8:D8"/>
    <mergeCell ref="C9:D9"/>
    <mergeCell ref="C10:D10"/>
    <mergeCell ref="C12:D12"/>
    <mergeCell ref="C13:D13"/>
    <mergeCell ref="C14:D14"/>
    <mergeCell ref="C16:D16"/>
    <mergeCell ref="C29:D29"/>
    <mergeCell ref="C30:D30"/>
    <mergeCell ref="C31:D31"/>
    <mergeCell ref="C32:D3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12</vt:i4>
      </vt:variant>
      <vt:variant>
        <vt:lpstr>Charts</vt:lpstr>
      </vt:variant>
      <vt:variant>
        <vt:i4>1</vt:i4>
      </vt:variant>
      <vt:variant>
        <vt:lpstr>Named Ranges</vt:lpstr>
      </vt:variant>
      <vt:variant>
        <vt:i4>6</vt:i4>
      </vt:variant>
    </vt:vector>
  </HeadingPairs>
  <TitlesOfParts>
    <vt:vector size="19" baseType="lpstr">
      <vt:lpstr>Procedures</vt:lpstr>
      <vt:lpstr>Mix Design Description</vt:lpstr>
      <vt:lpstr> Mix Design</vt:lpstr>
      <vt:lpstr>Mix Design Test Results</vt:lpstr>
      <vt:lpstr>Data</vt:lpstr>
      <vt:lpstr>TAG</vt:lpstr>
      <vt:lpstr>Tarantula Sieve Transfer</vt:lpstr>
      <vt:lpstr>Sieve Analysis</vt:lpstr>
      <vt:lpstr>Tarantula Curve Mix Design</vt:lpstr>
      <vt:lpstr>Sheet5</vt:lpstr>
      <vt:lpstr>Sheet3</vt:lpstr>
      <vt:lpstr>Sheet4</vt:lpstr>
      <vt:lpstr>Chart-Gradation Band</vt:lpstr>
      <vt:lpstr>' Mix Design'!Print_Area</vt:lpstr>
      <vt:lpstr>Data!Print_Area</vt:lpstr>
      <vt:lpstr>'Mix Design Description'!Print_Area</vt:lpstr>
      <vt:lpstr>'Mix Design Test Results'!Print_Area</vt:lpstr>
      <vt:lpstr>Procedures!Print_Area</vt:lpstr>
      <vt:lpstr>TAG!Print_Area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Halsey, Lieska</cp:lastModifiedBy>
  <dcterms:created xsi:type="dcterms:W3CDTF">2011-05-20T00:14:59Z</dcterms:created>
  <dcterms:modified xsi:type="dcterms:W3CDTF">2021-09-24T19:16:47Z</dcterms:modified>
</cp:coreProperties>
</file>