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60" windowWidth="15180" windowHeight="9345" tabRatio="757" activeTab="1"/>
  </bookViews>
  <sheets>
    <sheet name="Target Mix Design Worksheet" sheetId="1" r:id="rId1"/>
    <sheet name="Batch Mass Calculation Sheet" sheetId="2" r:id="rId2"/>
    <sheet name="Yield Calculation Worksheet" sheetId="3" r:id="rId3"/>
    <sheet name="Unit Weight Yield Calculation" sheetId="4" r:id="rId4"/>
    <sheet name="Reference" sheetId="5" r:id="rId5"/>
  </sheets>
  <calcPr calcId="125725"/>
</workbook>
</file>

<file path=xl/calcChain.xml><?xml version="1.0" encoding="utf-8"?>
<calcChain xmlns="http://schemas.openxmlformats.org/spreadsheetml/2006/main">
  <c r="K59" i="2"/>
  <c r="N59" s="1"/>
  <c r="P19" i="3"/>
  <c r="P14"/>
  <c r="L19"/>
  <c r="O30" i="2"/>
  <c r="H30"/>
  <c r="E20" i="1"/>
  <c r="G28" s="1"/>
  <c r="G25"/>
  <c r="G26"/>
  <c r="G43"/>
  <c r="K8" i="2" s="1"/>
  <c r="H49" s="1"/>
  <c r="G40" i="1"/>
  <c r="K5" i="2" s="1"/>
  <c r="H46" s="1"/>
  <c r="L17" i="3"/>
  <c r="O20" i="2"/>
  <c r="L18" i="3"/>
  <c r="O25" i="2"/>
  <c r="L16" i="3"/>
  <c r="G24" i="1"/>
  <c r="G23"/>
  <c r="G27"/>
  <c r="P11" i="3"/>
  <c r="H20" i="2"/>
  <c r="H25"/>
  <c r="P17" i="3"/>
  <c r="P18"/>
  <c r="G41" i="1"/>
  <c r="K6" i="2" s="1"/>
  <c r="H47" s="1"/>
  <c r="G42" i="1"/>
  <c r="K7" i="2" s="1"/>
  <c r="H48" s="1"/>
  <c r="L42" i="3"/>
  <c r="O58" i="2"/>
  <c r="O57"/>
  <c r="O55"/>
  <c r="O56"/>
  <c r="O54"/>
  <c r="G10" i="4"/>
  <c r="J24" s="1"/>
  <c r="G19"/>
  <c r="J23" s="1"/>
  <c r="P12" i="3"/>
  <c r="F16"/>
  <c r="P13"/>
  <c r="L34" i="2" l="1"/>
  <c r="L22" i="3" s="1"/>
  <c r="L35" i="2"/>
  <c r="L23" i="3" s="1"/>
  <c r="L26" s="1"/>
  <c r="L38" s="1"/>
  <c r="L33" i="2"/>
  <c r="L21" i="3" s="1"/>
  <c r="L24" s="1"/>
  <c r="L36" s="1"/>
  <c r="J25" i="4"/>
  <c r="J26" s="1"/>
  <c r="J29" s="1"/>
  <c r="G30" i="1"/>
  <c r="G47"/>
  <c r="K12" i="2" s="1"/>
  <c r="M60" s="1"/>
  <c r="O49"/>
  <c r="F14" i="3"/>
  <c r="L14" s="1"/>
  <c r="L34" s="1"/>
  <c r="F12"/>
  <c r="L12" s="1"/>
  <c r="L32" s="1"/>
  <c r="O47" i="2"/>
  <c r="F13" i="3"/>
  <c r="L13" s="1"/>
  <c r="L33" s="1"/>
  <c r="O48" i="2"/>
  <c r="J58"/>
  <c r="J56"/>
  <c r="J54"/>
  <c r="F11" i="3"/>
  <c r="L11" s="1"/>
  <c r="L31" s="1"/>
  <c r="J57" i="2"/>
  <c r="J55"/>
  <c r="O46"/>
  <c r="G34" i="1" l="1"/>
  <c r="G36"/>
  <c r="G32"/>
  <c r="L25" i="3"/>
  <c r="L37" s="1"/>
  <c r="G46" i="1" l="1"/>
  <c r="K11" i="2" s="1"/>
  <c r="L40" s="1"/>
  <c r="H52" s="1"/>
  <c r="O52" s="1"/>
  <c r="G44" i="1"/>
  <c r="J33" i="4" s="1"/>
  <c r="G45" i="1"/>
  <c r="J35" i="4" s="1"/>
  <c r="J37" l="1"/>
  <c r="K9" i="2"/>
  <c r="L38" s="1"/>
  <c r="K10"/>
  <c r="L39" s="1"/>
  <c r="H51" s="1"/>
  <c r="F19" i="3"/>
  <c r="H43" i="2" l="1"/>
  <c r="O43" s="1"/>
  <c r="H53" s="1"/>
  <c r="Q53" s="1"/>
  <c r="O53" s="1"/>
  <c r="H50"/>
  <c r="O50" s="1"/>
  <c r="O51"/>
  <c r="F18" i="3"/>
  <c r="F17" l="1"/>
  <c r="F15"/>
  <c r="L15" s="1"/>
  <c r="L27" s="1"/>
  <c r="L45" s="1"/>
  <c r="L35" l="1"/>
  <c r="L39" s="1"/>
  <c r="L40" s="1"/>
  <c r="L41" s="1"/>
  <c r="L44" s="1"/>
  <c r="L53" s="1"/>
  <c r="L51" l="1"/>
  <c r="L49"/>
</calcChain>
</file>

<file path=xl/sharedStrings.xml><?xml version="1.0" encoding="utf-8"?>
<sst xmlns="http://schemas.openxmlformats.org/spreadsheetml/2006/main" count="595" uniqueCount="294">
  <si>
    <t>This is the first sheet to fill out using the specifications.</t>
  </si>
  <si>
    <t>CLASS OF CONCRETE:</t>
  </si>
  <si>
    <t>Target Water/Cement Ratio:</t>
  </si>
  <si>
    <t>Target % Air Content:</t>
  </si>
  <si>
    <t>Target % Fine Aggregate:</t>
  </si>
  <si>
    <t>Target % Coarse Aggregate:</t>
  </si>
  <si>
    <t>TARGET AMOUNTS</t>
  </si>
  <si>
    <t>SPECIFIC GRAVITY</t>
  </si>
  <si>
    <t>A</t>
  </si>
  <si>
    <t>B</t>
  </si>
  <si>
    <t>C</t>
  </si>
  <si>
    <t>E</t>
  </si>
  <si>
    <t>F</t>
  </si>
  <si>
    <t>G</t>
  </si>
  <si>
    <t>H</t>
  </si>
  <si>
    <t>I</t>
  </si>
  <si>
    <t>J</t>
  </si>
  <si>
    <t>K</t>
  </si>
  <si>
    <t>M</t>
  </si>
  <si>
    <t>N</t>
  </si>
  <si>
    <t>O</t>
  </si>
  <si>
    <t>P</t>
  </si>
  <si>
    <t>Q</t>
  </si>
  <si>
    <t>R</t>
  </si>
  <si>
    <t>S</t>
  </si>
  <si>
    <t>T</t>
  </si>
  <si>
    <t>U</t>
  </si>
  <si>
    <t>Volume of Total Aggregate (ft3):</t>
  </si>
  <si>
    <t>V</t>
  </si>
  <si>
    <t>Weight of Fine Aggregate:</t>
  </si>
  <si>
    <t>W</t>
  </si>
  <si>
    <t>Weight of Coarse Aggregate:</t>
  </si>
  <si>
    <t>X</t>
  </si>
  <si>
    <t>TARGET MIX DESIGN WEIGHTS FOR 1 CUBIC YARD</t>
  </si>
  <si>
    <t>CEMENT:</t>
  </si>
  <si>
    <t>FLY ASH:</t>
  </si>
  <si>
    <t>SILICA FUME:</t>
  </si>
  <si>
    <t>FINE AGGREGATE:</t>
  </si>
  <si>
    <t>COARSE AGGREGATE:</t>
  </si>
  <si>
    <t>WATER:</t>
  </si>
  <si>
    <t>PROJECT NO:</t>
  </si>
  <si>
    <t>CONTROL NO:</t>
  </si>
  <si>
    <t>This is the second sheet to fill out.</t>
  </si>
  <si>
    <t>BATCH MASS CALCULATION WORKSHEET</t>
  </si>
  <si>
    <t>(From Target Mix Design Worksheet)</t>
  </si>
  <si>
    <t>lb</t>
  </si>
  <si>
    <t>AGGREGATE MOISTURE CALCULATIONS</t>
  </si>
  <si>
    <t>DUNNIGAN</t>
  </si>
  <si>
    <t>PAN DRY</t>
  </si>
  <si>
    <t>TEST METHOD NDOR T 506</t>
  </si>
  <si>
    <t>TEST METHOD NDOR T 255</t>
  </si>
  <si>
    <t>Mass of sample in air</t>
  </si>
  <si>
    <t>Mass of sample in water</t>
  </si>
  <si>
    <t>w</t>
  </si>
  <si>
    <t>w1</t>
  </si>
  <si>
    <t>Specific Gravity</t>
  </si>
  <si>
    <t>Gf</t>
  </si>
  <si>
    <t>FINE</t>
  </si>
  <si>
    <t>FINE AGGREGATE</t>
  </si>
  <si>
    <t>COARSE</t>
  </si>
  <si>
    <t>Gc</t>
  </si>
  <si>
    <t>Original mass of sample</t>
  </si>
  <si>
    <t>Mass of dried sample</t>
  </si>
  <si>
    <t>Absorbed moisture</t>
  </si>
  <si>
    <t>Am</t>
  </si>
  <si>
    <t>wD</t>
  </si>
  <si>
    <t>% Moisture:</t>
  </si>
  <si>
    <t>MOISTURE COMPENSATED BATCH MASSES</t>
  </si>
  <si>
    <t>e</t>
  </si>
  <si>
    <t>x</t>
  </si>
  <si>
    <t>Fine Aggregate % Moisture =</t>
  </si>
  <si>
    <t>Coarse Aggregate % Moisture =</t>
  </si>
  <si>
    <t>BATCH WATER = TARGET DESIGN WATER - AGGREGATE FREE MOISTURE</t>
  </si>
  <si>
    <t>gal</t>
  </si>
  <si>
    <t>BATCH MASSES FOR 1 CU. YD.</t>
  </si>
  <si>
    <t>CEMENT</t>
  </si>
  <si>
    <t>FLY ASH</t>
  </si>
  <si>
    <t>SILICA FUME</t>
  </si>
  <si>
    <t>COARSE AGGREGATE</t>
  </si>
  <si>
    <t>WATER</t>
  </si>
  <si>
    <t>AIR ENTRAINING</t>
  </si>
  <si>
    <t>WATER REDUCER</t>
  </si>
  <si>
    <t>ADMIXTURE 1</t>
  </si>
  <si>
    <t>ADMIXTURE 2</t>
  </si>
  <si>
    <t>ADMIXTURE 3</t>
  </si>
  <si>
    <t>oz</t>
  </si>
  <si>
    <t>% AIR CONTENT</t>
  </si>
  <si>
    <t>BATCH WT.</t>
  </si>
  <si>
    <t>SAME AS</t>
  </si>
  <si>
    <t>TARGET WT.</t>
  </si>
  <si>
    <t>Y OR N</t>
  </si>
  <si>
    <t>%</t>
  </si>
  <si>
    <t>L</t>
  </si>
  <si>
    <t>SPECIFIC</t>
  </si>
  <si>
    <t>GRAVITY</t>
  </si>
  <si>
    <t>TARGET</t>
  </si>
  <si>
    <t>WEIGHTS</t>
  </si>
  <si>
    <t>BATCH</t>
  </si>
  <si>
    <t xml:space="preserve">SCALE </t>
  </si>
  <si>
    <t>WEIGHT</t>
  </si>
  <si>
    <t>PER 1 yd3</t>
  </si>
  <si>
    <t>% FREE MOISTURE IN FINE AGGREGATE =</t>
  </si>
  <si>
    <t>% FREE MOISTURE IN COARSE AGGREGATE =</t>
  </si>
  <si>
    <t>BATCH VOLUME</t>
  </si>
  <si>
    <t>yd3</t>
  </si>
  <si>
    <t>Y</t>
  </si>
  <si>
    <t>Z</t>
  </si>
  <si>
    <t>a</t>
  </si>
  <si>
    <t>lb/yd3</t>
  </si>
  <si>
    <t>b</t>
  </si>
  <si>
    <t>CEMENT CONTENT/CUBIC YARD: A/b =</t>
  </si>
  <si>
    <t>c</t>
  </si>
  <si>
    <t>TARGET CEMENT CONTENT/CUBIC YARD =</t>
  </si>
  <si>
    <t>d</t>
  </si>
  <si>
    <t>(FROM THE TARGET MIX DESIGN WORKSHEET)</t>
  </si>
  <si>
    <t>If "e" is less than 99% it will be necessary to adjust the aggregate weights as follows</t>
  </si>
  <si>
    <t>This is the last sheet.  It should only be</t>
  </si>
  <si>
    <t>used when calculating the unit weight</t>
  </si>
  <si>
    <t>EMPTY BUCKET WEIGHT:</t>
  </si>
  <si>
    <t>VOLUME OF YIELD BUCKET:</t>
  </si>
  <si>
    <t>TARGET CEMENT CONTENT/CUBIC YARD:</t>
  </si>
  <si>
    <t>ft3</t>
  </si>
  <si>
    <t>lb/ft3</t>
  </si>
  <si>
    <t>If "e" is less than 99% it will be necessary to adjust the aggregate weights as follows:</t>
  </si>
  <si>
    <t>will have to enter the Scale Weight Per 1 yd3 on this sheet.</t>
  </si>
  <si>
    <t>Only the fields that are shaded need to be filled out.</t>
  </si>
  <si>
    <t>oz =</t>
  </si>
  <si>
    <t>oz/100 lbs cement</t>
  </si>
  <si>
    <t>Target % Other Aggregate:</t>
  </si>
  <si>
    <t>Value</t>
  </si>
  <si>
    <t>Definition</t>
  </si>
  <si>
    <t>D</t>
  </si>
  <si>
    <t>y</t>
  </si>
  <si>
    <t>Weight of Other Aggregate:</t>
  </si>
  <si>
    <t>AA</t>
  </si>
  <si>
    <t>OTHER SCM:</t>
  </si>
  <si>
    <t>OTHER AGGREGATE:</t>
  </si>
  <si>
    <t xml:space="preserve">      27 - R - S - T - U - V - W =</t>
  </si>
  <si>
    <t>Volume of Water (ft3): Q/62.4 =</t>
  </si>
  <si>
    <t>OTHER</t>
  </si>
  <si>
    <t>Other Aggregate % Moisture =</t>
  </si>
  <si>
    <t>Go</t>
  </si>
  <si>
    <t>BB</t>
  </si>
  <si>
    <t>CC</t>
  </si>
  <si>
    <t>DD</t>
  </si>
  <si>
    <t>Q-(BB-Y)-(CC-Z)-(DD-AA) =</t>
  </si>
  <si>
    <t>EE</t>
  </si>
  <si>
    <t>FF</t>
  </si>
  <si>
    <t>OTHER SCM</t>
  </si>
  <si>
    <t>OTHER AGGREGATE</t>
  </si>
  <si>
    <t xml:space="preserve">BATCH MASSES FOR </t>
  </si>
  <si>
    <t xml:space="preserve"> CU YDS.</t>
  </si>
  <si>
    <t xml:space="preserve">% FREE MOISTURE IN OTHER AGGREGATE = </t>
  </si>
  <si>
    <t>GG</t>
  </si>
  <si>
    <t>HH</t>
  </si>
  <si>
    <t>II</t>
  </si>
  <si>
    <t>JJ</t>
  </si>
  <si>
    <t>SSD OF FINE AGGREGATE: BB*100/(100+w) =</t>
  </si>
  <si>
    <t>SSD OF COARSE AGGREGATE: CC*100/(100+x) =</t>
  </si>
  <si>
    <t xml:space="preserve">SSD OF OTHER AGGREGATE: DD*100/(100+y) = </t>
  </si>
  <si>
    <t>TOTAL WATER: E+(BB-GG)+(CC-HH)+(DD-II) =</t>
  </si>
  <si>
    <t xml:space="preserve">OTHER AGGREGATE: II/P*62.4*27) = </t>
  </si>
  <si>
    <t xml:space="preserve">COARSE AGGREGATE: HH/(O*62.4*27) = </t>
  </si>
  <si>
    <t xml:space="preserve">FINE AGGREGATE: GG/(N*62.4*27) = </t>
  </si>
  <si>
    <t>WATER: JJ/(62.4*27)</t>
  </si>
  <si>
    <t>KK</t>
  </si>
  <si>
    <t>LL</t>
  </si>
  <si>
    <t>MM</t>
  </si>
  <si>
    <t>NN</t>
  </si>
  <si>
    <t>OO</t>
  </si>
  <si>
    <t>PP</t>
  </si>
  <si>
    <t>QQ</t>
  </si>
  <si>
    <t>RR</t>
  </si>
  <si>
    <t>MATERIAL VOLUME: KK+LL+MM+NN+OO+PP+QQ+RR =</t>
  </si>
  <si>
    <t xml:space="preserve">       (FROM THE TARGET MIX DESIGN WORKSHEET)</t>
  </si>
  <si>
    <t>ACTUAL W/C RATIO: JJ/A+B+C+D =</t>
  </si>
  <si>
    <t>f = Fine aggregate weight Y from the TARGET MIX DESIGN Worksheet</t>
  </si>
  <si>
    <t>g = Coarse aggregate weight Z from the TARGET MIX DESIGN Worksheet</t>
  </si>
  <si>
    <t>SS</t>
  </si>
  <si>
    <t>TT</t>
  </si>
  <si>
    <t>UU</t>
  </si>
  <si>
    <t>VV</t>
  </si>
  <si>
    <t>Weight of Cement</t>
  </si>
  <si>
    <t>Weight of Fly Ash</t>
  </si>
  <si>
    <t>Weight of Silica Fume</t>
  </si>
  <si>
    <t>Weight of other SCM</t>
  </si>
  <si>
    <t>Target Water/Cement Ratio</t>
  </si>
  <si>
    <t>Target % Air Content</t>
  </si>
  <si>
    <t>Target % Fine Aggregate</t>
  </si>
  <si>
    <t>Target % Other Aggregate</t>
  </si>
  <si>
    <t>Specific Gravity of Cement</t>
  </si>
  <si>
    <t>Specific Gravity of Fly Ash</t>
  </si>
  <si>
    <t>Specific Gravity of Silica Fume</t>
  </si>
  <si>
    <t>Specific Gravity of other SCM</t>
  </si>
  <si>
    <t>Specific Gravity of Fine Aggregate</t>
  </si>
  <si>
    <t>Specific Gravity of Other Aggregate</t>
  </si>
  <si>
    <t>Weight of Water</t>
  </si>
  <si>
    <t>Volume of Cement</t>
  </si>
  <si>
    <t>Volume of Fly Ash</t>
  </si>
  <si>
    <t>Volume of Silica Fume</t>
  </si>
  <si>
    <t>Volume of other SCM</t>
  </si>
  <si>
    <t>Volume of Air</t>
  </si>
  <si>
    <t>Volume of Water</t>
  </si>
  <si>
    <t>Volume of Total Aggregate</t>
  </si>
  <si>
    <t>Target % Coarse Aggregate</t>
  </si>
  <si>
    <t>Specific Gravity of Coarse Aggregate</t>
  </si>
  <si>
    <t>Weight of Fine Aggregate</t>
  </si>
  <si>
    <t>Weight of Coarse Aggregate</t>
  </si>
  <si>
    <t>Weight of Other Aggregate</t>
  </si>
  <si>
    <t>Wet Weight of Fine Aggregate</t>
  </si>
  <si>
    <t>Wet Weight of Coarse Aggregate</t>
  </si>
  <si>
    <t>Wet Weight of Other Aggregate</t>
  </si>
  <si>
    <t>Batch Water in Pounds</t>
  </si>
  <si>
    <t>Batch Water in Gallons</t>
  </si>
  <si>
    <t>SSD Fine Aggregate</t>
  </si>
  <si>
    <t>SSD Coarse Aggregate</t>
  </si>
  <si>
    <t>SSD Other Aggregate</t>
  </si>
  <si>
    <t>Total Water</t>
  </si>
  <si>
    <t>Batch Volume of Cement</t>
  </si>
  <si>
    <t>Batch Volume of Fly Ash</t>
  </si>
  <si>
    <t>Batch Volume of Silica Fume</t>
  </si>
  <si>
    <t>Batch Volume of Other SCM</t>
  </si>
  <si>
    <t>Batch Volume of Water</t>
  </si>
  <si>
    <t>Batch Volume of Fine Aggregate</t>
  </si>
  <si>
    <t>Batch Volume of Coarse Aggregate</t>
  </si>
  <si>
    <t>Batch Volume of Other Aggregate</t>
  </si>
  <si>
    <t>Empty Bucket Weight</t>
  </si>
  <si>
    <t>Bucket + Concrete</t>
  </si>
  <si>
    <t>Net Weight of Concrete</t>
  </si>
  <si>
    <t>Fine Aggregate Moisture</t>
  </si>
  <si>
    <t>Coarse Aggregate Moisture</t>
  </si>
  <si>
    <t>Other Aggregate Moisture</t>
  </si>
  <si>
    <t>Volume of Cement (ft3): A/(J*62.4) =</t>
  </si>
  <si>
    <t>Volume of Fly Ash (ft3): B/(K*62.4) =</t>
  </si>
  <si>
    <t>Volume of Silica Fume (ft3): C/(L*62.4) =</t>
  </si>
  <si>
    <t>Volume of other SCM (ft3): D/(M*62.4) =</t>
  </si>
  <si>
    <t>Volume of Air (ft3): (F/100)*27 =</t>
  </si>
  <si>
    <t xml:space="preserve">     100*[(Gf-1)/Gf*(w/w1)-1]</t>
  </si>
  <si>
    <t xml:space="preserve">     100*[(Gc-1)/Gc*(w/w1)-1]</t>
  </si>
  <si>
    <t xml:space="preserve">     100*[(Go-1)/Go*(w/w1)-1]</t>
  </si>
  <si>
    <t xml:space="preserve">     [100*(w-wD)/wD]-Am</t>
  </si>
  <si>
    <t>TOTAL VOLUME OF MATERIALS + AIR: a/[1-(0.01*F)] =</t>
  </si>
  <si>
    <t>RELATIVE CEMENT YIELD: (c/d)*100 =</t>
  </si>
  <si>
    <t>h = Coarse aggregate weight AA from the TARGET MIX DESIGN Worksheet</t>
  </si>
  <si>
    <t xml:space="preserve">   gallons * 8.345 =</t>
  </si>
  <si>
    <t xml:space="preserve">UNIT WEIGHT OF CONCRETE: UU/VV = </t>
  </si>
  <si>
    <t>WW</t>
  </si>
  <si>
    <t>XX</t>
  </si>
  <si>
    <t>YY</t>
  </si>
  <si>
    <t>Volume of Bucket</t>
  </si>
  <si>
    <t>Unit Weight of Concrete</t>
  </si>
  <si>
    <t>Total Batch Weight</t>
  </si>
  <si>
    <t>Yield (Volume of Concrete)</t>
  </si>
  <si>
    <t>Material Volume</t>
  </si>
  <si>
    <t>Total Volume of Material and Air</t>
  </si>
  <si>
    <t>Cement Content per Cubic Yard</t>
  </si>
  <si>
    <t>Target Cement Content per Cubic Yard</t>
  </si>
  <si>
    <t>Relative Cement Yield</t>
  </si>
  <si>
    <t>SCM</t>
  </si>
  <si>
    <t>Supplementary Cementitious Material</t>
  </si>
  <si>
    <t xml:space="preserve">      (62.4*(G/100)*N*X) =</t>
  </si>
  <si>
    <t xml:space="preserve">      (62.4*(H/100)*O*X) =</t>
  </si>
  <si>
    <t xml:space="preserve">      (62.4*(I/100)*P*X) =</t>
  </si>
  <si>
    <t>This sheet is used to calculate the yield per cubic yard based on the actual batch weights used.  It</t>
  </si>
  <si>
    <t xml:space="preserve">should be used to calculate the yield using the actual scale weights and the field air content.  You </t>
  </si>
  <si>
    <t>must enter a "y" or "n" and may use a combination of the two.  If you have not set up your target mix</t>
  </si>
  <si>
    <t>design sheet, you will need to enter your moistures on the Batch Mass Calculation Sheet and you</t>
  </si>
  <si>
    <t>Weight of Cement per yd3:</t>
  </si>
  <si>
    <t>Weight of Fly Ash per yd3:</t>
  </si>
  <si>
    <t>Weight of Silica Fume per yd3:</t>
  </si>
  <si>
    <t>Weight of other SCM per yd3:</t>
  </si>
  <si>
    <t>Wt. of Water: (A+B+C+D)*E =</t>
  </si>
  <si>
    <t>FINE AGGREGATE: Y*(100+w)/100 =</t>
  </si>
  <si>
    <t>COARSE AGGREGATE: Z*(100+x)/100 =</t>
  </si>
  <si>
    <t xml:space="preserve">OTHER AGGREGATE: AA*(100+y)/100 = </t>
  </si>
  <si>
    <t>New fine aggregate SSD weight: f*e*0.01 =</t>
  </si>
  <si>
    <t>New coarse aggregate SSD weight: g*e*0.01 =</t>
  </si>
  <si>
    <t>New other aggregate SSD weight: h*e*0.01 =</t>
  </si>
  <si>
    <t>BUCKET+CONCRETE WEIGHT:</t>
  </si>
  <si>
    <t>TOTAL BATCH WEIGHT: A+B+C+E+G+H+I =</t>
  </si>
  <si>
    <t>YIELD (VOLUME OF CONCRETE): XX/(WW*27) =</t>
  </si>
  <si>
    <t>CEMENT CONTENT/CUBIC YARD: A/YY =</t>
  </si>
  <si>
    <t>RELATIVED CEMENT YIELD: (c/d)*100 =</t>
  </si>
  <si>
    <t>New coarse aggregate SSD weight: h*e*0.01 =</t>
  </si>
  <si>
    <t>=</t>
  </si>
  <si>
    <t>Maximum Water/Cement Ratio</t>
  </si>
  <si>
    <t>gallons</t>
  </si>
  <si>
    <r>
      <t xml:space="preserve">Water that can be added </t>
    </r>
    <r>
      <rPr>
        <u/>
        <sz val="10"/>
        <rFont val="Arial"/>
        <family val="2"/>
      </rPr>
      <t>per yard</t>
    </r>
    <r>
      <rPr>
        <sz val="10"/>
        <rFont val="Arial"/>
        <family val="2"/>
      </rPr>
      <t xml:space="preserve"> based on mix design</t>
    </r>
  </si>
  <si>
    <t xml:space="preserve">(EE)*0.1198 = </t>
  </si>
  <si>
    <t>CEMENT: A/(J*62.4*27) =</t>
  </si>
  <si>
    <t xml:space="preserve">FLY ASH: B/(K*62.4*27) = </t>
  </si>
  <si>
    <t>SILICA FUME: C/(L*62.4*27)=</t>
  </si>
  <si>
    <t xml:space="preserve">OTHER SCM: D/((M*62.4*27) = </t>
  </si>
  <si>
    <t>NET WEIGHT OF CONCRETE: TT-SS =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</si>
</sst>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000"/>
  </numFmts>
  <fonts count="8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u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1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0" xfId="0" applyAlignment="1">
      <alignment horizontal="center"/>
    </xf>
    <xf numFmtId="0" fontId="0" fillId="0" borderId="0" xfId="0" applyBorder="1"/>
    <xf numFmtId="0" fontId="0" fillId="0" borderId="0" xfId="0" applyProtection="1"/>
    <xf numFmtId="0" fontId="1" fillId="0" borderId="0" xfId="0" applyFont="1" applyProtection="1"/>
    <xf numFmtId="0" fontId="0" fillId="0" borderId="0" xfId="0" applyBorder="1" applyProtection="1"/>
    <xf numFmtId="0" fontId="1" fillId="0" borderId="0" xfId="0" applyFont="1" applyAlignment="1" applyProtection="1">
      <alignment horizontal="centerContinuous"/>
    </xf>
    <xf numFmtId="0" fontId="0" fillId="0" borderId="0" xfId="0" applyAlignment="1" applyProtection="1">
      <alignment horizontal="centerContinuous"/>
    </xf>
    <xf numFmtId="0" fontId="0" fillId="0" borderId="0" xfId="0" applyBorder="1" applyAlignment="1" applyProtection="1">
      <alignment horizontal="center"/>
    </xf>
    <xf numFmtId="0" fontId="0" fillId="0" borderId="0" xfId="0" applyFill="1" applyBorder="1" applyAlignment="1" applyProtection="1">
      <alignment horizontal="center"/>
    </xf>
    <xf numFmtId="0" fontId="0" fillId="0" borderId="0" xfId="0" applyAlignment="1" applyProtection="1">
      <alignment horizont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1" xfId="0" applyBorder="1" applyAlignment="1" applyProtection="1">
      <alignment horizontal="center"/>
    </xf>
    <xf numFmtId="0" fontId="0" fillId="0" borderId="2" xfId="0" applyBorder="1" applyAlignment="1" applyProtection="1">
      <alignment horizontal="center"/>
    </xf>
    <xf numFmtId="0" fontId="0" fillId="0" borderId="0" xfId="0" applyAlignment="1" applyProtection="1">
      <alignment horizontal="left"/>
    </xf>
    <xf numFmtId="164" fontId="0" fillId="2" borderId="2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0" xfId="0" applyFill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0" borderId="1" xfId="0" applyFill="1" applyBorder="1"/>
    <xf numFmtId="0" fontId="4" fillId="0" borderId="1" xfId="0" applyFont="1" applyBorder="1"/>
    <xf numFmtId="0" fontId="0" fillId="2" borderId="2" xfId="0" applyFill="1" applyBorder="1"/>
    <xf numFmtId="0" fontId="0" fillId="0" borderId="2" xfId="0" applyBorder="1" applyAlignment="1"/>
    <xf numFmtId="0" fontId="4" fillId="0" borderId="0" xfId="0" applyFont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164" fontId="0" fillId="2" borderId="2" xfId="0" applyNumberFormat="1" applyFill="1" applyBorder="1" applyAlignment="1" applyProtection="1">
      <alignment horizontal="center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1" fillId="0" borderId="0" xfId="0" applyFont="1" applyAlignment="1" applyProtection="1">
      <alignment horizontal="right"/>
    </xf>
    <xf numFmtId="0" fontId="0" fillId="0" borderId="0" xfId="0" applyAlignment="1" applyProtection="1"/>
    <xf numFmtId="0" fontId="1" fillId="0" borderId="0" xfId="0" applyFont="1" applyAlignment="1" applyProtection="1"/>
    <xf numFmtId="0" fontId="5" fillId="0" borderId="0" xfId="0" applyFont="1" applyProtection="1"/>
    <xf numFmtId="2" fontId="0" fillId="2" borderId="1" xfId="0" applyNumberFormat="1" applyFill="1" applyBorder="1" applyAlignment="1" applyProtection="1">
      <alignment horizontal="center"/>
      <protection locked="0"/>
    </xf>
    <xf numFmtId="0" fontId="5" fillId="0" borderId="0" xfId="0" applyFont="1"/>
    <xf numFmtId="0" fontId="5" fillId="0" borderId="0" xfId="0" applyFont="1" applyAlignment="1">
      <alignment horizontal="center"/>
    </xf>
    <xf numFmtId="0" fontId="0" fillId="0" borderId="0" xfId="0" applyFill="1" applyProtection="1"/>
    <xf numFmtId="0" fontId="5" fillId="0" borderId="0" xfId="0" applyFont="1" applyAlignment="1" applyProtection="1">
      <alignment horizontal="center"/>
    </xf>
    <xf numFmtId="0" fontId="0" fillId="0" borderId="6" xfId="0" applyBorder="1" applyProtection="1"/>
    <xf numFmtId="0" fontId="0" fillId="0" borderId="3" xfId="0" applyBorder="1" applyProtection="1"/>
    <xf numFmtId="0" fontId="0" fillId="0" borderId="3" xfId="0" applyBorder="1" applyAlignment="1" applyProtection="1">
      <alignment horizontal="center"/>
    </xf>
    <xf numFmtId="0" fontId="0" fillId="0" borderId="7" xfId="0" applyBorder="1" applyProtection="1"/>
    <xf numFmtId="0" fontId="0" fillId="0" borderId="8" xfId="0" applyBorder="1" applyProtection="1"/>
    <xf numFmtId="0" fontId="0" fillId="0" borderId="9" xfId="0" applyBorder="1" applyProtection="1"/>
    <xf numFmtId="0" fontId="5" fillId="0" borderId="9" xfId="0" applyFont="1" applyBorder="1" applyAlignment="1" applyProtection="1">
      <alignment horizontal="center"/>
    </xf>
    <xf numFmtId="0" fontId="0" fillId="0" borderId="9" xfId="0" applyBorder="1" applyAlignment="1" applyProtection="1">
      <alignment horizontal="center"/>
    </xf>
    <xf numFmtId="0" fontId="0" fillId="0" borderId="11" xfId="0" applyBorder="1" applyProtection="1"/>
    <xf numFmtId="0" fontId="0" fillId="0" borderId="0" xfId="0" applyBorder="1" applyAlignment="1" applyProtection="1">
      <alignment vertical="center" textRotation="90"/>
    </xf>
    <xf numFmtId="0" fontId="0" fillId="0" borderId="0" xfId="0" applyFill="1" applyBorder="1" applyProtection="1"/>
    <xf numFmtId="0" fontId="6" fillId="0" borderId="0" xfId="0" applyFont="1" applyProtection="1"/>
    <xf numFmtId="0" fontId="5" fillId="0" borderId="0" xfId="0" applyFont="1" applyBorder="1" applyAlignment="1" applyProtection="1">
      <alignment horizontal="center"/>
    </xf>
    <xf numFmtId="0" fontId="6" fillId="0" borderId="0" xfId="0" applyFont="1" applyAlignment="1" applyProtection="1">
      <alignment horizontal="centerContinuous"/>
    </xf>
    <xf numFmtId="0" fontId="5" fillId="0" borderId="0" xfId="0" applyFont="1" applyAlignment="1" applyProtection="1">
      <alignment horizontal="right"/>
    </xf>
    <xf numFmtId="0" fontId="5" fillId="0" borderId="0" xfId="0" applyFont="1" applyBorder="1" applyAlignment="1" applyProtection="1"/>
    <xf numFmtId="0" fontId="7" fillId="0" borderId="0" xfId="0" applyFont="1" applyProtection="1"/>
    <xf numFmtId="2" fontId="0" fillId="0" borderId="0" xfId="0" applyNumberFormat="1" applyProtection="1"/>
    <xf numFmtId="0" fontId="0" fillId="0" borderId="0" xfId="0" applyAlignment="1" applyProtection="1">
      <alignment horizontal="center"/>
    </xf>
    <xf numFmtId="0" fontId="0" fillId="0" borderId="1" xfId="0" applyBorder="1" applyAlignment="1" applyProtection="1">
      <alignment horizontal="center"/>
    </xf>
    <xf numFmtId="0" fontId="0" fillId="0" borderId="1" xfId="0" applyBorder="1" applyAlignment="1" applyProtection="1">
      <alignment horizontal="centerContinuous"/>
    </xf>
    <xf numFmtId="0" fontId="0" fillId="0" borderId="1" xfId="0" applyBorder="1" applyAlignment="1" applyProtection="1">
      <alignment horizontal="left"/>
    </xf>
    <xf numFmtId="0" fontId="0" fillId="0" borderId="0" xfId="0" applyBorder="1" applyAlignment="1" applyProtection="1">
      <alignment horizontal="left"/>
    </xf>
    <xf numFmtId="0" fontId="0" fillId="0" borderId="2" xfId="0" applyBorder="1" applyAlignment="1" applyProtection="1">
      <alignment horizontal="left"/>
    </xf>
    <xf numFmtId="0" fontId="5" fillId="0" borderId="2" xfId="0" applyFont="1" applyBorder="1" applyAlignment="1" applyProtection="1">
      <alignment horizontal="left"/>
    </xf>
    <xf numFmtId="164" fontId="0" fillId="0" borderId="2" xfId="0" applyNumberFormat="1" applyBorder="1" applyProtection="1"/>
    <xf numFmtId="0" fontId="5" fillId="0" borderId="0" xfId="0" applyFont="1" applyBorder="1" applyAlignment="1" applyProtection="1">
      <alignment horizontal="left"/>
    </xf>
    <xf numFmtId="0" fontId="0" fillId="0" borderId="0" xfId="0" applyFill="1" applyBorder="1" applyAlignment="1" applyProtection="1">
      <alignment horizontal="left"/>
    </xf>
    <xf numFmtId="0" fontId="5" fillId="0" borderId="0" xfId="0" applyFont="1" applyFill="1" applyBorder="1" applyAlignment="1" applyProtection="1">
      <alignment horizontal="left"/>
    </xf>
    <xf numFmtId="0" fontId="5" fillId="0" borderId="2" xfId="0" applyFont="1" applyBorder="1" applyProtection="1"/>
    <xf numFmtId="0" fontId="0" fillId="0" borderId="2" xfId="0" applyFill="1" applyBorder="1" applyProtection="1"/>
    <xf numFmtId="0" fontId="0" fillId="0" borderId="2" xfId="0" applyBorder="1" applyAlignment="1" applyProtection="1">
      <alignment horizontal="right"/>
    </xf>
    <xf numFmtId="0" fontId="3" fillId="0" borderId="0" xfId="0" applyFont="1" applyAlignment="1" applyProtection="1">
      <alignment horizontal="centerContinuous"/>
    </xf>
    <xf numFmtId="0" fontId="4" fillId="0" borderId="1" xfId="0" applyFont="1" applyBorder="1" applyProtection="1"/>
    <xf numFmtId="0" fontId="0" fillId="0" borderId="1" xfId="0" applyFill="1" applyBorder="1" applyProtection="1"/>
    <xf numFmtId="0" fontId="5" fillId="0" borderId="8" xfId="0" applyFont="1" applyBorder="1" applyProtection="1"/>
    <xf numFmtId="0" fontId="5" fillId="0" borderId="10" xfId="0" applyFont="1" applyBorder="1" applyProtection="1"/>
    <xf numFmtId="0" fontId="0" fillId="0" borderId="0" xfId="0" applyAlignment="1">
      <alignment horizontal="left"/>
    </xf>
    <xf numFmtId="2" fontId="0" fillId="0" borderId="0" xfId="0" applyNumberFormat="1" applyAlignment="1" applyProtection="1">
      <alignment horizontal="center"/>
    </xf>
    <xf numFmtId="0" fontId="0" fillId="0" borderId="0" xfId="0" applyAlignment="1" applyProtection="1">
      <alignment horizontal="center"/>
    </xf>
    <xf numFmtId="2" fontId="0" fillId="2" borderId="2" xfId="0" applyNumberFormat="1" applyFill="1" applyBorder="1" applyProtection="1">
      <protection locked="0"/>
    </xf>
    <xf numFmtId="164" fontId="0" fillId="0" borderId="1" xfId="0" applyNumberFormat="1" applyBorder="1" applyProtection="1"/>
    <xf numFmtId="0" fontId="5" fillId="2" borderId="2" xfId="0" applyFont="1" applyFill="1" applyBorder="1" applyAlignment="1" applyProtection="1">
      <alignment horizontal="center"/>
      <protection locked="0"/>
    </xf>
    <xf numFmtId="2" fontId="0" fillId="0" borderId="1" xfId="0" applyNumberFormat="1" applyBorder="1" applyAlignment="1" applyProtection="1">
      <alignment horizontal="center"/>
    </xf>
    <xf numFmtId="2" fontId="0" fillId="0" borderId="2" xfId="0" applyNumberFormat="1" applyBorder="1" applyAlignment="1" applyProtection="1">
      <alignment horizontal="center"/>
    </xf>
    <xf numFmtId="0" fontId="0" fillId="0" borderId="1" xfId="0" applyBorder="1" applyAlignment="1">
      <alignment horizontal="center"/>
    </xf>
    <xf numFmtId="2" fontId="0" fillId="0" borderId="1" xfId="0" applyNumberFormat="1" applyBorder="1" applyProtection="1"/>
    <xf numFmtId="2" fontId="0" fillId="0" borderId="2" xfId="0" applyNumberFormat="1" applyBorder="1" applyProtection="1"/>
    <xf numFmtId="165" fontId="0" fillId="0" borderId="1" xfId="0" applyNumberFormat="1" applyBorder="1" applyProtection="1"/>
    <xf numFmtId="165" fontId="0" fillId="0" borderId="2" xfId="0" applyNumberFormat="1" applyBorder="1" applyProtection="1"/>
    <xf numFmtId="0" fontId="5" fillId="2" borderId="1" xfId="0" applyFont="1" applyFill="1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</xf>
    <xf numFmtId="0" fontId="0" fillId="0" borderId="0" xfId="0" applyAlignment="1" applyProtection="1">
      <alignment horizontal="right"/>
    </xf>
    <xf numFmtId="0" fontId="1" fillId="0" borderId="0" xfId="0" applyFont="1" applyAlignment="1" applyProtection="1">
      <alignment horizontal="center"/>
    </xf>
    <xf numFmtId="0" fontId="5" fillId="2" borderId="0" xfId="0" applyFont="1" applyFill="1" applyAlignment="1" applyProtection="1">
      <alignment horizontal="center"/>
      <protection locked="0"/>
    </xf>
    <xf numFmtId="0" fontId="0" fillId="2" borderId="0" xfId="0" applyFill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</xf>
    <xf numFmtId="0" fontId="0" fillId="2" borderId="2" xfId="0" applyFill="1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</xf>
    <xf numFmtId="0" fontId="0" fillId="0" borderId="2" xfId="0" applyBorder="1" applyAlignment="1" applyProtection="1">
      <alignment horizontal="center"/>
    </xf>
    <xf numFmtId="0" fontId="0" fillId="0" borderId="5" xfId="0" applyBorder="1" applyAlignment="1" applyProtection="1">
      <alignment horizontal="center"/>
    </xf>
    <xf numFmtId="0" fontId="0" fillId="0" borderId="1" xfId="0" applyBorder="1" applyAlignment="1" applyProtection="1"/>
    <xf numFmtId="0" fontId="0" fillId="0" borderId="9" xfId="0" applyBorder="1" applyAlignment="1" applyProtection="1">
      <alignment horizontal="center" vertical="center" textRotation="90"/>
    </xf>
    <xf numFmtId="0" fontId="0" fillId="0" borderId="0" xfId="0" applyBorder="1" applyAlignment="1" applyProtection="1">
      <alignment horizontal="center" vertical="center" textRotation="90"/>
    </xf>
    <xf numFmtId="0" fontId="0" fillId="0" borderId="0" xfId="0" applyAlignment="1" applyProtection="1">
      <alignment horizontal="center"/>
    </xf>
    <xf numFmtId="0" fontId="4" fillId="0" borderId="1" xfId="0" applyFont="1" applyBorder="1" applyAlignment="1" applyProtection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R47"/>
  <sheetViews>
    <sheetView showGridLines="0" workbookViewId="0">
      <selection activeCell="D5" sqref="D5:E5"/>
    </sheetView>
  </sheetViews>
  <sheetFormatPr defaultRowHeight="12.75"/>
  <cols>
    <col min="1" max="1" width="8.7109375" style="5" customWidth="1"/>
    <col min="2" max="2" width="9.140625" style="5" customWidth="1"/>
    <col min="3" max="3" width="9.140625" style="5"/>
    <col min="4" max="5" width="10.7109375" style="5" customWidth="1"/>
    <col min="6" max="6" width="4.7109375" style="5" customWidth="1"/>
    <col min="7" max="7" width="10.7109375" style="5" customWidth="1"/>
    <col min="8" max="9" width="4.7109375" style="5" customWidth="1"/>
    <col min="10" max="10" width="9.140625" style="5" customWidth="1"/>
    <col min="11" max="11" width="4.7109375" style="5" customWidth="1"/>
    <col min="12" max="12" width="8.7109375" style="5" customWidth="1"/>
    <col min="13" max="15" width="9.140625" style="5"/>
    <col min="16" max="18" width="15.7109375" style="5" customWidth="1"/>
    <col min="19" max="16384" width="9.140625" style="5"/>
  </cols>
  <sheetData>
    <row r="1" spans="2:16">
      <c r="B1" s="5" t="s">
        <v>0</v>
      </c>
    </row>
    <row r="2" spans="2:16">
      <c r="B2" s="5" t="s">
        <v>125</v>
      </c>
    </row>
    <row r="5" spans="2:16">
      <c r="C5" s="34" t="s">
        <v>40</v>
      </c>
      <c r="D5" s="97"/>
      <c r="E5" s="98"/>
      <c r="I5" s="34" t="s">
        <v>41</v>
      </c>
      <c r="J5" s="21"/>
    </row>
    <row r="7" spans="2:16">
      <c r="D7" s="34" t="s">
        <v>1</v>
      </c>
      <c r="E7" s="19"/>
      <c r="F7" s="7"/>
    </row>
    <row r="9" spans="2:16">
      <c r="C9" s="96" t="s">
        <v>6</v>
      </c>
      <c r="D9" s="96"/>
      <c r="G9" s="35"/>
      <c r="H9" s="35"/>
      <c r="I9" s="8" t="s">
        <v>7</v>
      </c>
      <c r="J9" s="8"/>
      <c r="K9" s="9"/>
      <c r="L9" s="35"/>
    </row>
    <row r="10" spans="2:16">
      <c r="B10" s="5" t="s">
        <v>267</v>
      </c>
      <c r="E10" s="19"/>
      <c r="F10" s="10" t="s">
        <v>8</v>
      </c>
      <c r="J10" s="38"/>
      <c r="K10" s="12" t="s">
        <v>16</v>
      </c>
    </row>
    <row r="11" spans="2:16">
      <c r="B11" s="5" t="s">
        <v>268</v>
      </c>
      <c r="E11" s="22"/>
      <c r="F11" s="10" t="s">
        <v>9</v>
      </c>
      <c r="J11" s="32"/>
      <c r="K11" s="12" t="s">
        <v>17</v>
      </c>
      <c r="P11" s="7"/>
    </row>
    <row r="12" spans="2:16">
      <c r="B12" s="5" t="s">
        <v>269</v>
      </c>
      <c r="E12" s="22"/>
      <c r="F12" s="10" t="s">
        <v>10</v>
      </c>
      <c r="J12" s="32"/>
      <c r="K12" s="12" t="s">
        <v>92</v>
      </c>
    </row>
    <row r="13" spans="2:16">
      <c r="B13" s="5" t="s">
        <v>270</v>
      </c>
      <c r="E13" s="22"/>
      <c r="F13" s="10" t="s">
        <v>131</v>
      </c>
      <c r="J13" s="32"/>
      <c r="K13" s="12" t="s">
        <v>18</v>
      </c>
    </row>
    <row r="14" spans="2:16">
      <c r="B14" s="5" t="s">
        <v>2</v>
      </c>
      <c r="E14" s="32"/>
      <c r="F14" s="10" t="s">
        <v>11</v>
      </c>
      <c r="K14" s="12"/>
    </row>
    <row r="15" spans="2:16">
      <c r="B15" s="5" t="s">
        <v>3</v>
      </c>
      <c r="E15" s="31"/>
      <c r="F15" s="10" t="s">
        <v>12</v>
      </c>
      <c r="K15" s="12"/>
    </row>
    <row r="16" spans="2:16">
      <c r="B16" s="5" t="s">
        <v>4</v>
      </c>
      <c r="E16" s="22"/>
      <c r="F16" s="10" t="s">
        <v>13</v>
      </c>
      <c r="J16" s="38"/>
      <c r="K16" s="12" t="s">
        <v>19</v>
      </c>
    </row>
    <row r="17" spans="2:18">
      <c r="B17" s="5" t="s">
        <v>5</v>
      </c>
      <c r="E17" s="22"/>
      <c r="F17" s="10" t="s">
        <v>14</v>
      </c>
      <c r="J17" s="32"/>
      <c r="K17" s="12" t="s">
        <v>20</v>
      </c>
    </row>
    <row r="18" spans="2:18">
      <c r="B18" s="5" t="s">
        <v>128</v>
      </c>
      <c r="E18" s="22"/>
      <c r="F18" s="10" t="s">
        <v>15</v>
      </c>
      <c r="J18" s="32"/>
      <c r="K18" s="12" t="s">
        <v>21</v>
      </c>
    </row>
    <row r="20" spans="2:18">
      <c r="B20" s="5" t="s">
        <v>271</v>
      </c>
      <c r="E20" s="15">
        <f>ROUND(SUM(E10:E13)*E14,0)</f>
        <v>0</v>
      </c>
      <c r="F20" s="11" t="s">
        <v>22</v>
      </c>
    </row>
    <row r="23" spans="2:18">
      <c r="C23" s="37" t="s">
        <v>232</v>
      </c>
      <c r="G23" s="86">
        <f>IF(E10=0,0,ROUND(E10/(J10*62.4),2))</f>
        <v>0</v>
      </c>
      <c r="H23" s="10" t="s">
        <v>23</v>
      </c>
      <c r="R23" s="61"/>
    </row>
    <row r="24" spans="2:18">
      <c r="C24" s="37" t="s">
        <v>233</v>
      </c>
      <c r="G24" s="87">
        <f>IF(E11=0,0,ROUND(E11/(J11*62.4),2))</f>
        <v>0</v>
      </c>
      <c r="H24" s="12" t="s">
        <v>24</v>
      </c>
    </row>
    <row r="25" spans="2:18">
      <c r="C25" s="37" t="s">
        <v>234</v>
      </c>
      <c r="G25" s="87">
        <f t="shared" ref="G25:G26" si="0">IF(E12=0,0,ROUND(E12/(J12*62.4),2))</f>
        <v>0</v>
      </c>
      <c r="H25" s="12" t="s">
        <v>25</v>
      </c>
    </row>
    <row r="26" spans="2:18">
      <c r="C26" s="37" t="s">
        <v>235</v>
      </c>
      <c r="G26" s="87">
        <f t="shared" si="0"/>
        <v>0</v>
      </c>
      <c r="H26" s="12" t="s">
        <v>26</v>
      </c>
    </row>
    <row r="27" spans="2:18">
      <c r="C27" s="37" t="s">
        <v>236</v>
      </c>
      <c r="G27" s="87">
        <f>ROUND((E15/100)*27,2)</f>
        <v>0</v>
      </c>
      <c r="H27" s="12" t="s">
        <v>28</v>
      </c>
    </row>
    <row r="28" spans="2:18">
      <c r="C28" s="37" t="s">
        <v>138</v>
      </c>
      <c r="G28" s="87">
        <f>ROUND(E20/62.4,2)</f>
        <v>0</v>
      </c>
      <c r="H28" s="12" t="s">
        <v>30</v>
      </c>
    </row>
    <row r="29" spans="2:18">
      <c r="C29" s="5" t="s">
        <v>27</v>
      </c>
      <c r="G29" s="7"/>
      <c r="H29" s="12"/>
    </row>
    <row r="30" spans="2:18">
      <c r="C30" s="5" t="s">
        <v>137</v>
      </c>
      <c r="G30" s="86">
        <f>27-G23-G24-G25-G26-G27-G28</f>
        <v>27</v>
      </c>
      <c r="H30" s="12" t="s">
        <v>32</v>
      </c>
    </row>
    <row r="31" spans="2:18">
      <c r="C31" s="5" t="s">
        <v>29</v>
      </c>
      <c r="H31" s="12"/>
      <c r="Q31" s="61"/>
      <c r="R31" s="61"/>
    </row>
    <row r="32" spans="2:18">
      <c r="C32" s="37" t="s">
        <v>260</v>
      </c>
      <c r="G32" s="15">
        <f>IF(E16=0,0,ROUND((62.4*(E16/100)*J16*G30),0))</f>
        <v>0</v>
      </c>
      <c r="H32" s="12" t="s">
        <v>105</v>
      </c>
      <c r="L32" s="37"/>
      <c r="Q32" s="81"/>
      <c r="R32" s="61"/>
    </row>
    <row r="33" spans="3:18">
      <c r="C33" s="5" t="s">
        <v>31</v>
      </c>
      <c r="H33" s="12"/>
      <c r="L33" s="37"/>
      <c r="Q33" s="81"/>
      <c r="R33" s="61"/>
    </row>
    <row r="34" spans="3:18">
      <c r="C34" s="37" t="s">
        <v>261</v>
      </c>
      <c r="G34" s="15">
        <f>IF(E17=0,0,ROUND((62.4*(E17/100)*J17*G30),0))</f>
        <v>0</v>
      </c>
      <c r="H34" s="12" t="s">
        <v>106</v>
      </c>
      <c r="L34" s="37"/>
      <c r="Q34" s="81"/>
      <c r="R34" s="82"/>
    </row>
    <row r="35" spans="3:18">
      <c r="C35" s="5" t="s">
        <v>133</v>
      </c>
      <c r="L35" s="37"/>
      <c r="Q35" s="81"/>
      <c r="R35" s="61"/>
    </row>
    <row r="36" spans="3:18">
      <c r="C36" s="5" t="s">
        <v>262</v>
      </c>
      <c r="G36" s="62">
        <f>IF(E18=0,0,ROUND((62.4*(E18/100)*J18*G30),0))</f>
        <v>0</v>
      </c>
      <c r="H36" s="12" t="s">
        <v>134</v>
      </c>
      <c r="L36" s="37"/>
      <c r="Q36" s="81"/>
      <c r="R36" s="61"/>
    </row>
    <row r="38" spans="3:18">
      <c r="D38" s="6" t="s">
        <v>33</v>
      </c>
    </row>
    <row r="40" spans="3:18">
      <c r="D40" s="5" t="s">
        <v>34</v>
      </c>
      <c r="G40" s="15">
        <f>E10</f>
        <v>0</v>
      </c>
      <c r="H40" s="17" t="s">
        <v>45</v>
      </c>
      <c r="I40" s="12" t="s">
        <v>8</v>
      </c>
    </row>
    <row r="41" spans="3:18">
      <c r="D41" s="5" t="s">
        <v>35</v>
      </c>
      <c r="G41" s="16">
        <f>E11</f>
        <v>0</v>
      </c>
      <c r="H41" s="17" t="s">
        <v>45</v>
      </c>
      <c r="I41" s="12" t="s">
        <v>9</v>
      </c>
    </row>
    <row r="42" spans="3:18">
      <c r="D42" s="5" t="s">
        <v>36</v>
      </c>
      <c r="G42" s="16">
        <f>E12</f>
        <v>0</v>
      </c>
      <c r="H42" s="17" t="s">
        <v>45</v>
      </c>
      <c r="I42" s="12" t="s">
        <v>10</v>
      </c>
    </row>
    <row r="43" spans="3:18">
      <c r="D43" s="5" t="s">
        <v>135</v>
      </c>
      <c r="G43" s="16">
        <f>E13</f>
        <v>0</v>
      </c>
      <c r="H43" s="17" t="s">
        <v>45</v>
      </c>
      <c r="I43" s="12" t="s">
        <v>131</v>
      </c>
    </row>
    <row r="44" spans="3:18">
      <c r="D44" s="5" t="s">
        <v>37</v>
      </c>
      <c r="G44" s="16">
        <f>G32</f>
        <v>0</v>
      </c>
      <c r="H44" s="17" t="s">
        <v>45</v>
      </c>
      <c r="I44" s="12" t="s">
        <v>105</v>
      </c>
    </row>
    <row r="45" spans="3:18">
      <c r="D45" s="5" t="s">
        <v>38</v>
      </c>
      <c r="G45" s="16">
        <f>G34</f>
        <v>0</v>
      </c>
      <c r="H45" s="17" t="s">
        <v>45</v>
      </c>
      <c r="I45" s="12" t="s">
        <v>106</v>
      </c>
    </row>
    <row r="46" spans="3:18">
      <c r="D46" s="5" t="s">
        <v>136</v>
      </c>
      <c r="G46" s="16">
        <f>G36</f>
        <v>0</v>
      </c>
      <c r="H46" s="17" t="s">
        <v>45</v>
      </c>
      <c r="I46" s="12" t="s">
        <v>134</v>
      </c>
    </row>
    <row r="47" spans="3:18">
      <c r="D47" s="5" t="s">
        <v>39</v>
      </c>
      <c r="G47" s="16">
        <f>E20</f>
        <v>0</v>
      </c>
      <c r="H47" s="17" t="s">
        <v>45</v>
      </c>
      <c r="I47" s="12" t="s">
        <v>22</v>
      </c>
    </row>
  </sheetData>
  <sheetProtection password="C89B" sheet="1" objects="1" scenarios="1" selectLockedCells="1"/>
  <mergeCells count="2">
    <mergeCell ref="C9:D9"/>
    <mergeCell ref="D5:E5"/>
  </mergeCells>
  <phoneticPr fontId="2" type="noConversion"/>
  <pageMargins left="0.5" right="0.5" top="0.75" bottom="0.75" header="0.5" footer="0.5"/>
  <pageSetup orientation="portrait" r:id="rId1"/>
  <headerFooter alignWithMargins="0">
    <oddHeader>&amp;CTarget Mix Design Worksheet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R60"/>
  <sheetViews>
    <sheetView showGridLines="0" tabSelected="1" topLeftCell="A9" workbookViewId="0">
      <selection activeCell="H17" sqref="H17"/>
    </sheetView>
  </sheetViews>
  <sheetFormatPr defaultRowHeight="12.75"/>
  <cols>
    <col min="1" max="1" width="2.7109375" style="5" customWidth="1"/>
    <col min="2" max="2" width="4.7109375" style="5" customWidth="1"/>
    <col min="3" max="3" width="9.140625" style="5"/>
    <col min="4" max="5" width="4.7109375" style="5" customWidth="1"/>
    <col min="6" max="7" width="3.7109375" style="5" customWidth="1"/>
    <col min="8" max="8" width="9.140625" style="5"/>
    <col min="9" max="9" width="4.7109375" style="5" customWidth="1"/>
    <col min="10" max="10" width="5.28515625" style="5" customWidth="1"/>
    <col min="11" max="11" width="9.140625" style="5"/>
    <col min="12" max="13" width="4.28515625" style="5" customWidth="1"/>
    <col min="14" max="14" width="3.7109375" style="5" customWidth="1"/>
    <col min="15" max="15" width="9.140625" style="5"/>
    <col min="16" max="16" width="3.7109375" style="5" customWidth="1"/>
    <col min="17" max="17" width="5.7109375" style="5" customWidth="1"/>
    <col min="18" max="18" width="4.140625" style="5" customWidth="1"/>
    <col min="19" max="16384" width="9.140625" style="5"/>
  </cols>
  <sheetData>
    <row r="1" spans="1:16">
      <c r="A1" s="41"/>
      <c r="B1" s="5" t="s">
        <v>42</v>
      </c>
    </row>
    <row r="3" spans="1:16">
      <c r="F3" s="36" t="s">
        <v>43</v>
      </c>
      <c r="H3" s="35"/>
      <c r="I3" s="35"/>
      <c r="J3" s="35"/>
      <c r="K3" s="35"/>
      <c r="L3" s="35"/>
      <c r="M3" s="9"/>
      <c r="N3" s="9"/>
      <c r="O3" s="9"/>
    </row>
    <row r="4" spans="1:16">
      <c r="F4" s="9"/>
      <c r="G4" s="36" t="s">
        <v>44</v>
      </c>
      <c r="H4" s="9"/>
      <c r="I4" s="9"/>
      <c r="J4" s="9"/>
      <c r="K4" s="9"/>
      <c r="L4" s="9"/>
      <c r="M4" s="9"/>
      <c r="N4" s="9"/>
      <c r="O4" s="9"/>
    </row>
    <row r="5" spans="1:16">
      <c r="E5" s="5" t="s">
        <v>34</v>
      </c>
      <c r="K5" s="15">
        <f>'Target Mix Design Worksheet'!G40</f>
        <v>0</v>
      </c>
      <c r="L5" s="5" t="s">
        <v>45</v>
      </c>
      <c r="M5" s="12" t="s">
        <v>8</v>
      </c>
    </row>
    <row r="6" spans="1:16">
      <c r="E6" s="5" t="s">
        <v>35</v>
      </c>
      <c r="K6" s="15">
        <f>'Target Mix Design Worksheet'!G41</f>
        <v>0</v>
      </c>
      <c r="L6" s="5" t="s">
        <v>45</v>
      </c>
      <c r="M6" s="12" t="s">
        <v>9</v>
      </c>
    </row>
    <row r="7" spans="1:16">
      <c r="E7" s="5" t="s">
        <v>36</v>
      </c>
      <c r="K7" s="15">
        <f>'Target Mix Design Worksheet'!G42</f>
        <v>0</v>
      </c>
      <c r="L7" s="5" t="s">
        <v>45</v>
      </c>
      <c r="M7" s="12" t="s">
        <v>10</v>
      </c>
    </row>
    <row r="8" spans="1:16">
      <c r="E8" s="37" t="s">
        <v>135</v>
      </c>
      <c r="K8" s="15">
        <f>'Target Mix Design Worksheet'!G43</f>
        <v>0</v>
      </c>
      <c r="L8" s="37" t="s">
        <v>45</v>
      </c>
      <c r="M8" s="42" t="s">
        <v>131</v>
      </c>
    </row>
    <row r="9" spans="1:16">
      <c r="E9" s="5" t="s">
        <v>37</v>
      </c>
      <c r="K9" s="15">
        <f>'Target Mix Design Worksheet'!G44</f>
        <v>0</v>
      </c>
      <c r="L9" s="5" t="s">
        <v>45</v>
      </c>
      <c r="M9" s="42" t="s">
        <v>105</v>
      </c>
    </row>
    <row r="10" spans="1:16">
      <c r="E10" s="5" t="s">
        <v>38</v>
      </c>
      <c r="K10" s="15">
        <f>'Target Mix Design Worksheet'!G45</f>
        <v>0</v>
      </c>
      <c r="L10" s="5" t="s">
        <v>45</v>
      </c>
      <c r="M10" s="42" t="s">
        <v>106</v>
      </c>
    </row>
    <row r="11" spans="1:16">
      <c r="E11" s="37" t="s">
        <v>136</v>
      </c>
      <c r="K11" s="15">
        <f>'Target Mix Design Worksheet'!G46</f>
        <v>0</v>
      </c>
      <c r="L11" s="37" t="s">
        <v>45</v>
      </c>
      <c r="M11" s="42" t="s">
        <v>134</v>
      </c>
    </row>
    <row r="12" spans="1:16">
      <c r="E12" s="5" t="s">
        <v>39</v>
      </c>
      <c r="K12" s="15">
        <f>'Target Mix Design Worksheet'!G47</f>
        <v>0</v>
      </c>
      <c r="L12" s="5" t="s">
        <v>45</v>
      </c>
      <c r="M12" s="42" t="s">
        <v>22</v>
      </c>
    </row>
    <row r="13" spans="1:16" ht="8.1" customHeight="1"/>
    <row r="14" spans="1:16">
      <c r="G14" s="6" t="s">
        <v>46</v>
      </c>
    </row>
    <row r="15" spans="1:16">
      <c r="C15" s="101" t="s">
        <v>47</v>
      </c>
      <c r="D15" s="102"/>
      <c r="E15" s="102"/>
      <c r="F15" s="102"/>
      <c r="G15" s="102"/>
      <c r="H15" s="102"/>
      <c r="I15" s="103"/>
      <c r="J15" s="101" t="s">
        <v>48</v>
      </c>
      <c r="K15" s="102"/>
      <c r="L15" s="102"/>
      <c r="M15" s="102"/>
      <c r="N15" s="102"/>
      <c r="O15" s="102"/>
      <c r="P15" s="103"/>
    </row>
    <row r="16" spans="1:16">
      <c r="C16" s="101" t="s">
        <v>49</v>
      </c>
      <c r="D16" s="102"/>
      <c r="E16" s="102"/>
      <c r="F16" s="102"/>
      <c r="G16" s="102"/>
      <c r="H16" s="102"/>
      <c r="I16" s="103"/>
      <c r="J16" s="101" t="s">
        <v>50</v>
      </c>
      <c r="K16" s="102"/>
      <c r="L16" s="102"/>
      <c r="M16" s="102"/>
      <c r="N16" s="102"/>
      <c r="O16" s="102"/>
      <c r="P16" s="103"/>
    </row>
    <row r="17" spans="2:16">
      <c r="B17" s="105" t="s">
        <v>57</v>
      </c>
      <c r="C17" s="43" t="s">
        <v>51</v>
      </c>
      <c r="D17" s="44"/>
      <c r="E17" s="44"/>
      <c r="F17" s="44"/>
      <c r="G17" s="45" t="s">
        <v>53</v>
      </c>
      <c r="H17" s="18"/>
      <c r="I17" s="46"/>
      <c r="J17" s="43" t="s">
        <v>61</v>
      </c>
      <c r="K17" s="44"/>
      <c r="L17" s="44"/>
      <c r="M17" s="44"/>
      <c r="N17" s="45" t="s">
        <v>53</v>
      </c>
      <c r="O17" s="18"/>
      <c r="P17" s="46"/>
    </row>
    <row r="18" spans="2:16">
      <c r="B18" s="105"/>
      <c r="C18" s="47" t="s">
        <v>52</v>
      </c>
      <c r="D18" s="7"/>
      <c r="E18" s="7"/>
      <c r="F18" s="7"/>
      <c r="G18" s="10" t="s">
        <v>54</v>
      </c>
      <c r="H18" s="18"/>
      <c r="I18" s="48"/>
      <c r="J18" s="47" t="s">
        <v>62</v>
      </c>
      <c r="K18" s="7"/>
      <c r="L18" s="7"/>
      <c r="M18" s="7"/>
      <c r="N18" s="10" t="s">
        <v>65</v>
      </c>
      <c r="O18" s="18"/>
      <c r="P18" s="48"/>
    </row>
    <row r="19" spans="2:16">
      <c r="B19" s="105"/>
      <c r="C19" s="47" t="s">
        <v>55</v>
      </c>
      <c r="D19" s="7"/>
      <c r="E19" s="7"/>
      <c r="F19" s="7"/>
      <c r="G19" s="10" t="s">
        <v>56</v>
      </c>
      <c r="H19" s="83"/>
      <c r="I19" s="48"/>
      <c r="J19" s="47" t="s">
        <v>63</v>
      </c>
      <c r="K19" s="7"/>
      <c r="L19" s="7"/>
      <c r="M19" s="7"/>
      <c r="N19" s="10" t="s">
        <v>64</v>
      </c>
      <c r="O19" s="18"/>
      <c r="P19" s="48"/>
    </row>
    <row r="20" spans="2:16">
      <c r="B20" s="105"/>
      <c r="C20" s="47" t="s">
        <v>66</v>
      </c>
      <c r="D20" s="7"/>
      <c r="E20" s="7"/>
      <c r="F20" s="7"/>
      <c r="G20" s="7"/>
      <c r="H20" s="84">
        <f>IF(H17=0,0,ROUND(100*((H19-1)/H19*(H17/H18)-1),1))</f>
        <v>0</v>
      </c>
      <c r="I20" s="49" t="s">
        <v>53</v>
      </c>
      <c r="J20" s="47" t="s">
        <v>66</v>
      </c>
      <c r="K20" s="7"/>
      <c r="L20" s="7"/>
      <c r="M20" s="7"/>
      <c r="N20" s="7"/>
      <c r="O20" s="84">
        <f>IF(O17=0,0,ROUND((100*(O17-O18)/O18)-O19,1))</f>
        <v>0</v>
      </c>
      <c r="P20" s="49" t="s">
        <v>53</v>
      </c>
    </row>
    <row r="21" spans="2:16">
      <c r="B21" s="105"/>
      <c r="C21" s="78" t="s">
        <v>237</v>
      </c>
      <c r="D21" s="7"/>
      <c r="E21" s="7"/>
      <c r="F21" s="7"/>
      <c r="G21" s="7"/>
      <c r="H21" s="7"/>
      <c r="I21" s="50"/>
      <c r="J21" s="78" t="s">
        <v>240</v>
      </c>
      <c r="K21" s="7"/>
      <c r="L21" s="7"/>
      <c r="M21" s="7"/>
      <c r="N21" s="7"/>
      <c r="O21" s="7"/>
      <c r="P21" s="50"/>
    </row>
    <row r="22" spans="2:16">
      <c r="B22" s="105" t="s">
        <v>59</v>
      </c>
      <c r="C22" s="43" t="s">
        <v>51</v>
      </c>
      <c r="D22" s="44"/>
      <c r="E22" s="44"/>
      <c r="F22" s="44"/>
      <c r="G22" s="45" t="s">
        <v>53</v>
      </c>
      <c r="H22" s="18"/>
      <c r="I22" s="46"/>
      <c r="J22" s="43" t="s">
        <v>61</v>
      </c>
      <c r="K22" s="44"/>
      <c r="L22" s="44"/>
      <c r="M22" s="44"/>
      <c r="N22" s="45" t="s">
        <v>53</v>
      </c>
      <c r="O22" s="18"/>
      <c r="P22" s="46"/>
    </row>
    <row r="23" spans="2:16">
      <c r="B23" s="105"/>
      <c r="C23" s="47" t="s">
        <v>52</v>
      </c>
      <c r="D23" s="7"/>
      <c r="E23" s="7"/>
      <c r="F23" s="7"/>
      <c r="G23" s="10" t="s">
        <v>54</v>
      </c>
      <c r="H23" s="18"/>
      <c r="I23" s="48"/>
      <c r="J23" s="47" t="s">
        <v>62</v>
      </c>
      <c r="K23" s="7"/>
      <c r="L23" s="7"/>
      <c r="M23" s="7"/>
      <c r="N23" s="10" t="s">
        <v>65</v>
      </c>
      <c r="O23" s="18"/>
      <c r="P23" s="48"/>
    </row>
    <row r="24" spans="2:16">
      <c r="B24" s="105"/>
      <c r="C24" s="47" t="s">
        <v>55</v>
      </c>
      <c r="D24" s="7"/>
      <c r="E24" s="7"/>
      <c r="F24" s="7"/>
      <c r="G24" s="7" t="s">
        <v>60</v>
      </c>
      <c r="H24" s="83"/>
      <c r="I24" s="48"/>
      <c r="J24" s="47" t="s">
        <v>63</v>
      </c>
      <c r="K24" s="7"/>
      <c r="L24" s="7"/>
      <c r="M24" s="7"/>
      <c r="N24" s="10" t="s">
        <v>64</v>
      </c>
      <c r="O24" s="18"/>
      <c r="P24" s="48"/>
    </row>
    <row r="25" spans="2:16">
      <c r="B25" s="105"/>
      <c r="C25" s="47" t="s">
        <v>66</v>
      </c>
      <c r="D25" s="7"/>
      <c r="E25" s="7"/>
      <c r="F25" s="7"/>
      <c r="G25" s="7"/>
      <c r="H25" s="84">
        <f>IF(H22=0,0,ROUND(100*((H24-1)/H24*(H22/H23)-1),1))</f>
        <v>0</v>
      </c>
      <c r="I25" s="50" t="s">
        <v>69</v>
      </c>
      <c r="J25" s="47" t="s">
        <v>66</v>
      </c>
      <c r="K25" s="7"/>
      <c r="L25" s="7"/>
      <c r="M25" s="7"/>
      <c r="N25" s="7"/>
      <c r="O25" s="84">
        <f>IF(O22=0,0,ROUND(((100*(O22-O23)/O23)-O24),1))</f>
        <v>0</v>
      </c>
      <c r="P25" s="50" t="s">
        <v>69</v>
      </c>
    </row>
    <row r="26" spans="2:16">
      <c r="B26" s="105"/>
      <c r="C26" s="78" t="s">
        <v>238</v>
      </c>
      <c r="D26" s="13"/>
      <c r="E26" s="13"/>
      <c r="F26" s="13"/>
      <c r="G26" s="13"/>
      <c r="H26" s="13"/>
      <c r="I26" s="51"/>
      <c r="J26" s="78" t="s">
        <v>240</v>
      </c>
      <c r="K26" s="13"/>
      <c r="L26" s="13"/>
      <c r="M26" s="13"/>
      <c r="N26" s="13"/>
      <c r="O26" s="13"/>
      <c r="P26" s="51"/>
    </row>
    <row r="27" spans="2:16">
      <c r="B27" s="106" t="s">
        <v>139</v>
      </c>
      <c r="C27" s="43" t="s">
        <v>51</v>
      </c>
      <c r="D27" s="44"/>
      <c r="E27" s="44"/>
      <c r="F27" s="44"/>
      <c r="G27" s="45" t="s">
        <v>53</v>
      </c>
      <c r="H27" s="18"/>
      <c r="I27" s="46"/>
      <c r="J27" s="43" t="s">
        <v>61</v>
      </c>
      <c r="K27" s="44"/>
      <c r="L27" s="44"/>
      <c r="M27" s="44"/>
      <c r="N27" s="45" t="s">
        <v>53</v>
      </c>
      <c r="O27" s="18"/>
      <c r="P27" s="46"/>
    </row>
    <row r="28" spans="2:16">
      <c r="B28" s="106"/>
      <c r="C28" s="47" t="s">
        <v>52</v>
      </c>
      <c r="D28" s="7"/>
      <c r="E28" s="7"/>
      <c r="F28" s="7"/>
      <c r="G28" s="10" t="s">
        <v>54</v>
      </c>
      <c r="H28" s="18"/>
      <c r="I28" s="48"/>
      <c r="J28" s="47" t="s">
        <v>62</v>
      </c>
      <c r="K28" s="7"/>
      <c r="L28" s="7"/>
      <c r="M28" s="7"/>
      <c r="N28" s="10" t="s">
        <v>65</v>
      </c>
      <c r="O28" s="18"/>
      <c r="P28" s="48"/>
    </row>
    <row r="29" spans="2:16">
      <c r="B29" s="106"/>
      <c r="C29" s="47" t="s">
        <v>55</v>
      </c>
      <c r="D29" s="7"/>
      <c r="E29" s="7"/>
      <c r="F29" s="7"/>
      <c r="G29" s="10" t="s">
        <v>141</v>
      </c>
      <c r="H29" s="83"/>
      <c r="I29" s="48"/>
      <c r="J29" s="47" t="s">
        <v>63</v>
      </c>
      <c r="K29" s="7"/>
      <c r="L29" s="7"/>
      <c r="M29" s="7"/>
      <c r="N29" s="10" t="s">
        <v>64</v>
      </c>
      <c r="O29" s="18"/>
      <c r="P29" s="48"/>
    </row>
    <row r="30" spans="2:16">
      <c r="B30" s="106"/>
      <c r="C30" s="47" t="s">
        <v>66</v>
      </c>
      <c r="D30" s="7"/>
      <c r="E30" s="7"/>
      <c r="F30" s="7"/>
      <c r="G30" s="7"/>
      <c r="H30" s="84">
        <f>IF(H27=0,0,ROUND(100*((H29-1)/H29*(H27/H28)-1),1))</f>
        <v>0</v>
      </c>
      <c r="I30" s="50" t="s">
        <v>132</v>
      </c>
      <c r="J30" s="47" t="s">
        <v>66</v>
      </c>
      <c r="K30" s="7"/>
      <c r="L30" s="7"/>
      <c r="M30" s="7"/>
      <c r="N30" s="7"/>
      <c r="O30" s="84">
        <f>IF(O27=0,0,ROUND(((100*(O27-O28)/O28)-O29),1))</f>
        <v>0</v>
      </c>
      <c r="P30" s="50" t="s">
        <v>132</v>
      </c>
    </row>
    <row r="31" spans="2:16">
      <c r="B31" s="106"/>
      <c r="C31" s="79" t="s">
        <v>239</v>
      </c>
      <c r="D31" s="13"/>
      <c r="E31" s="13"/>
      <c r="F31" s="13"/>
      <c r="G31" s="13"/>
      <c r="H31" s="13"/>
      <c r="I31" s="13"/>
      <c r="J31" s="79" t="s">
        <v>240</v>
      </c>
      <c r="K31" s="13"/>
      <c r="L31" s="13"/>
      <c r="M31" s="13"/>
      <c r="N31" s="13"/>
      <c r="O31" s="13"/>
      <c r="P31" s="51"/>
    </row>
    <row r="32" spans="2:16" ht="8.1" customHeight="1">
      <c r="B32" s="52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1:18">
      <c r="B33" s="52"/>
      <c r="D33" s="7"/>
      <c r="E33" s="7"/>
      <c r="G33" s="53" t="s">
        <v>70</v>
      </c>
      <c r="H33" s="7"/>
      <c r="I33" s="7"/>
      <c r="L33" s="84">
        <f>IF(H20=0,O20,H20)</f>
        <v>0</v>
      </c>
      <c r="M33" s="10" t="s">
        <v>53</v>
      </c>
      <c r="N33" s="7"/>
      <c r="O33" s="7"/>
      <c r="P33" s="7"/>
    </row>
    <row r="34" spans="1:18">
      <c r="B34" s="52"/>
      <c r="C34" s="53"/>
      <c r="D34" s="7"/>
      <c r="E34" s="7"/>
      <c r="G34" s="7" t="s">
        <v>71</v>
      </c>
      <c r="H34" s="7"/>
      <c r="I34" s="7"/>
      <c r="J34" s="7"/>
      <c r="L34" s="84">
        <f>IF(H25=0,O25,H25)</f>
        <v>0</v>
      </c>
      <c r="M34" s="10" t="s">
        <v>69</v>
      </c>
      <c r="N34" s="7"/>
      <c r="O34" s="7"/>
      <c r="P34" s="7"/>
    </row>
    <row r="35" spans="1:18">
      <c r="B35" s="52"/>
      <c r="C35" s="53"/>
      <c r="D35" s="7"/>
      <c r="E35" s="7"/>
      <c r="G35" s="7" t="s">
        <v>140</v>
      </c>
      <c r="H35" s="7"/>
      <c r="I35" s="7"/>
      <c r="J35" s="7"/>
      <c r="L35" s="68">
        <f>IF(H30=0,O30,H30)</f>
        <v>0</v>
      </c>
      <c r="M35" s="10" t="s">
        <v>132</v>
      </c>
      <c r="N35" s="7"/>
      <c r="O35" s="7"/>
      <c r="P35" s="7"/>
    </row>
    <row r="36" spans="1:18" ht="8.1" customHeight="1"/>
    <row r="37" spans="1:18">
      <c r="F37" s="54" t="s">
        <v>67</v>
      </c>
    </row>
    <row r="38" spans="1:18">
      <c r="D38" s="37" t="s">
        <v>272</v>
      </c>
      <c r="L38" s="104">
        <f>ROUND(K9*(100+L33)/100,2)</f>
        <v>0</v>
      </c>
      <c r="M38" s="104"/>
      <c r="N38" s="55" t="s">
        <v>142</v>
      </c>
    </row>
    <row r="39" spans="1:18">
      <c r="D39" s="37" t="s">
        <v>273</v>
      </c>
      <c r="L39" s="104">
        <f>ROUND(K10*(100+L34)/100,2)</f>
        <v>0</v>
      </c>
      <c r="M39" s="104"/>
      <c r="N39" s="55" t="s">
        <v>143</v>
      </c>
    </row>
    <row r="40" spans="1:18">
      <c r="D40" s="37" t="s">
        <v>274</v>
      </c>
      <c r="L40" s="104">
        <f>ROUND(K11*(100+L35)/100,2)</f>
        <v>0</v>
      </c>
      <c r="M40" s="104"/>
      <c r="N40" s="55" t="s">
        <v>144</v>
      </c>
    </row>
    <row r="41" spans="1:18" ht="8.1" customHeight="1"/>
    <row r="42" spans="1:18">
      <c r="A42" s="56" t="s">
        <v>72</v>
      </c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</row>
    <row r="43" spans="1:18">
      <c r="G43" s="57" t="s">
        <v>145</v>
      </c>
      <c r="H43" s="15">
        <f>K12-(L38-K9)-(L39-K10)</f>
        <v>0</v>
      </c>
      <c r="I43" s="58" t="s">
        <v>45</v>
      </c>
      <c r="J43" s="37" t="s">
        <v>146</v>
      </c>
      <c r="N43" s="57" t="s">
        <v>288</v>
      </c>
      <c r="O43" s="15">
        <f>ROUND(H43*0.1198,2)</f>
        <v>0</v>
      </c>
      <c r="P43" s="5" t="s">
        <v>73</v>
      </c>
      <c r="Q43" s="37" t="s">
        <v>147</v>
      </c>
    </row>
    <row r="44" spans="1:18" ht="8.1" customHeight="1"/>
    <row r="45" spans="1:18">
      <c r="C45" s="54" t="s">
        <v>74</v>
      </c>
      <c r="K45" s="54"/>
      <c r="L45" s="59"/>
      <c r="M45" s="59"/>
      <c r="N45" s="57" t="s">
        <v>150</v>
      </c>
      <c r="O45" s="93"/>
      <c r="P45" s="37" t="s">
        <v>151</v>
      </c>
    </row>
    <row r="46" spans="1:18">
      <c r="B46" s="5" t="s">
        <v>75</v>
      </c>
      <c r="H46" s="15">
        <f>K5</f>
        <v>0</v>
      </c>
      <c r="I46" s="5" t="s">
        <v>45</v>
      </c>
      <c r="J46" s="12" t="s">
        <v>8</v>
      </c>
      <c r="O46" s="15">
        <f>H46*O45</f>
        <v>0</v>
      </c>
      <c r="P46" s="5" t="s">
        <v>45</v>
      </c>
    </row>
    <row r="47" spans="1:18">
      <c r="B47" s="5" t="s">
        <v>76</v>
      </c>
      <c r="H47" s="16">
        <f>K6</f>
        <v>0</v>
      </c>
      <c r="I47" s="5" t="s">
        <v>45</v>
      </c>
      <c r="J47" s="12" t="s">
        <v>9</v>
      </c>
      <c r="O47" s="15">
        <f>H47*O45</f>
        <v>0</v>
      </c>
      <c r="P47" s="5" t="s">
        <v>45</v>
      </c>
    </row>
    <row r="48" spans="1:18">
      <c r="B48" s="5" t="s">
        <v>77</v>
      </c>
      <c r="H48" s="16">
        <f>K7</f>
        <v>0</v>
      </c>
      <c r="I48" s="5" t="s">
        <v>45</v>
      </c>
      <c r="J48" s="12" t="s">
        <v>10</v>
      </c>
      <c r="O48" s="15">
        <f>H48*O45</f>
        <v>0</v>
      </c>
      <c r="P48" s="5" t="s">
        <v>45</v>
      </c>
    </row>
    <row r="49" spans="2:18">
      <c r="B49" s="37" t="s">
        <v>148</v>
      </c>
      <c r="H49" s="16">
        <f>K8</f>
        <v>0</v>
      </c>
      <c r="I49" s="37" t="s">
        <v>45</v>
      </c>
      <c r="J49" s="42" t="s">
        <v>131</v>
      </c>
      <c r="O49" s="15">
        <f>H49*O45</f>
        <v>0</v>
      </c>
      <c r="P49" s="37" t="s">
        <v>45</v>
      </c>
    </row>
    <row r="50" spans="2:18">
      <c r="B50" s="5" t="s">
        <v>58</v>
      </c>
      <c r="H50" s="16">
        <f>L38</f>
        <v>0</v>
      </c>
      <c r="I50" s="5" t="s">
        <v>45</v>
      </c>
      <c r="J50" s="42" t="s">
        <v>142</v>
      </c>
      <c r="O50" s="15">
        <f>ROUND(H50*O45,0)</f>
        <v>0</v>
      </c>
      <c r="P50" s="5" t="s">
        <v>45</v>
      </c>
    </row>
    <row r="51" spans="2:18">
      <c r="B51" s="5" t="s">
        <v>78</v>
      </c>
      <c r="H51" s="16">
        <f>L39</f>
        <v>0</v>
      </c>
      <c r="I51" s="5" t="s">
        <v>45</v>
      </c>
      <c r="J51" s="42" t="s">
        <v>143</v>
      </c>
      <c r="O51" s="15">
        <f>ROUND(H51*O45,0)</f>
        <v>0</v>
      </c>
      <c r="P51" s="5" t="s">
        <v>45</v>
      </c>
    </row>
    <row r="52" spans="2:18">
      <c r="B52" s="37" t="s">
        <v>149</v>
      </c>
      <c r="H52" s="16">
        <f>L40</f>
        <v>0</v>
      </c>
      <c r="I52" s="37" t="s">
        <v>45</v>
      </c>
      <c r="J52" s="42" t="s">
        <v>144</v>
      </c>
      <c r="O52" s="15">
        <f>ROUND(H52*O45,0)</f>
        <v>0</v>
      </c>
      <c r="P52" s="37" t="s">
        <v>45</v>
      </c>
    </row>
    <row r="53" spans="2:18">
      <c r="B53" s="5" t="s">
        <v>79</v>
      </c>
      <c r="H53" s="16">
        <f>O43</f>
        <v>0</v>
      </c>
      <c r="I53" s="5" t="s">
        <v>73</v>
      </c>
      <c r="J53" s="42" t="s">
        <v>147</v>
      </c>
      <c r="O53" s="16">
        <f>ROUND(Q53/0.1198,0)</f>
        <v>0</v>
      </c>
      <c r="P53" s="5" t="s">
        <v>45</v>
      </c>
      <c r="Q53" s="13">
        <f>ROUND(H53*O45,0)</f>
        <v>0</v>
      </c>
      <c r="R53" s="5" t="s">
        <v>73</v>
      </c>
    </row>
    <row r="54" spans="2:18">
      <c r="B54" s="5" t="s">
        <v>80</v>
      </c>
      <c r="H54" s="22"/>
      <c r="I54" s="5" t="s">
        <v>126</v>
      </c>
      <c r="J54" s="60">
        <f>IF(H46=0,0,(H54/(H46/100)))</f>
        <v>0</v>
      </c>
      <c r="K54" s="5" t="s">
        <v>127</v>
      </c>
      <c r="O54" s="15">
        <f>ROUND(H54*O45,0)</f>
        <v>0</v>
      </c>
      <c r="P54" s="5" t="s">
        <v>85</v>
      </c>
    </row>
    <row r="55" spans="2:18">
      <c r="B55" s="5" t="s">
        <v>81</v>
      </c>
      <c r="H55" s="22"/>
      <c r="I55" s="5" t="s">
        <v>126</v>
      </c>
      <c r="J55" s="60">
        <f>IF(H46=0,0,(H55/(H46/100)))</f>
        <v>0</v>
      </c>
      <c r="K55" s="5" t="s">
        <v>127</v>
      </c>
      <c r="O55" s="15">
        <f>ROUND(H55*O45,0)</f>
        <v>0</v>
      </c>
      <c r="P55" s="5" t="s">
        <v>85</v>
      </c>
    </row>
    <row r="56" spans="2:18">
      <c r="B56" s="5" t="s">
        <v>82</v>
      </c>
      <c r="H56" s="22"/>
      <c r="I56" s="5" t="s">
        <v>126</v>
      </c>
      <c r="J56" s="60">
        <f>IF(H46=0,0,(H56/(H46/100)))</f>
        <v>0</v>
      </c>
      <c r="K56" s="5" t="s">
        <v>127</v>
      </c>
      <c r="O56" s="15">
        <f>ROUND(H56*O45,0)</f>
        <v>0</v>
      </c>
      <c r="P56" s="5" t="s">
        <v>85</v>
      </c>
    </row>
    <row r="57" spans="2:18">
      <c r="B57" s="5" t="s">
        <v>83</v>
      </c>
      <c r="H57" s="22"/>
      <c r="I57" s="5" t="s">
        <v>126</v>
      </c>
      <c r="J57" s="60">
        <f>IF(H46=0,0,(H57/(H46/100)))</f>
        <v>0</v>
      </c>
      <c r="K57" s="5" t="s">
        <v>127</v>
      </c>
      <c r="O57" s="15">
        <f>ROUND(H57*O45,0)</f>
        <v>0</v>
      </c>
      <c r="P57" s="5" t="s">
        <v>85</v>
      </c>
    </row>
    <row r="58" spans="2:18">
      <c r="B58" s="5" t="s">
        <v>84</v>
      </c>
      <c r="H58" s="22"/>
      <c r="I58" s="5" t="s">
        <v>126</v>
      </c>
      <c r="J58" s="60">
        <f>IF(H46=0,0,(H58/(H46/100)))</f>
        <v>0</v>
      </c>
      <c r="K58" s="5" t="s">
        <v>127</v>
      </c>
      <c r="O58" s="15">
        <f>ROUND(H58*O45,0)</f>
        <v>0</v>
      </c>
      <c r="P58" s="5" t="s">
        <v>85</v>
      </c>
    </row>
    <row r="59" spans="2:18">
      <c r="F59" s="95" t="s">
        <v>285</v>
      </c>
      <c r="G59" s="94" t="s">
        <v>284</v>
      </c>
      <c r="H59" s="100"/>
      <c r="I59" s="100"/>
      <c r="J59" s="94" t="s">
        <v>284</v>
      </c>
      <c r="K59" s="13" t="str">
        <f>IF(H59="","",ROUND(SUM(H46:H49)*H59,2))</f>
        <v/>
      </c>
      <c r="L59" s="5" t="s">
        <v>45</v>
      </c>
      <c r="M59" s="94" t="s">
        <v>284</v>
      </c>
      <c r="N59" s="99" t="str">
        <f>IF(H59="","",ROUND(K59*0.1198,2))</f>
        <v/>
      </c>
      <c r="O59" s="99"/>
      <c r="P59" s="5" t="s">
        <v>286</v>
      </c>
    </row>
    <row r="60" spans="2:18">
      <c r="K60" s="57" t="s">
        <v>287</v>
      </c>
      <c r="L60" s="42" t="s">
        <v>284</v>
      </c>
      <c r="M60" s="99">
        <f>ROUND(((SUM(H46:H49)*H59)-K12)*0.1198,2)</f>
        <v>0</v>
      </c>
      <c r="N60" s="99"/>
      <c r="O60" s="5" t="s">
        <v>286</v>
      </c>
    </row>
  </sheetData>
  <sheetProtection password="C89B" sheet="1" objects="1" scenarios="1" selectLockedCells="1"/>
  <mergeCells count="13">
    <mergeCell ref="J15:P15"/>
    <mergeCell ref="C15:I15"/>
    <mergeCell ref="L40:M40"/>
    <mergeCell ref="B17:B21"/>
    <mergeCell ref="B22:B26"/>
    <mergeCell ref="L38:M38"/>
    <mergeCell ref="L39:M39"/>
    <mergeCell ref="B27:B31"/>
    <mergeCell ref="N59:O59"/>
    <mergeCell ref="H59:I59"/>
    <mergeCell ref="M60:N60"/>
    <mergeCell ref="C16:I16"/>
    <mergeCell ref="J16:P16"/>
  </mergeCells>
  <phoneticPr fontId="2" type="noConversion"/>
  <dataValidations count="1">
    <dataValidation allowBlank="1" showInputMessage="1" showErrorMessage="1" prompt="Enter the Maximum Water/Cement Ratio for the class of concrete that is being used.  Check the Project Special Provisions or Standard Specifications if you are unsure of what that value is." sqref="H59:I59"/>
  </dataValidations>
  <pageMargins left="0.5" right="0.5" top="0.35" bottom="0.35" header="0.5" footer="0.5"/>
  <pageSetup orientation="portrait" r:id="rId1"/>
  <headerFooter alignWithMargins="0">
    <oddHeader>&amp;CBatch Mass Calculation Worksheet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S54"/>
  <sheetViews>
    <sheetView showGridLines="0" topLeftCell="A8" workbookViewId="0">
      <selection activeCell="D11" sqref="D11"/>
    </sheetView>
  </sheetViews>
  <sheetFormatPr defaultRowHeight="12.75"/>
  <cols>
    <col min="1" max="2" width="9.140625" style="5"/>
    <col min="3" max="3" width="3.5703125" style="5" customWidth="1"/>
    <col min="4" max="4" width="11.5703125" style="5" customWidth="1"/>
    <col min="5" max="5" width="2.7109375" style="5" customWidth="1"/>
    <col min="6" max="6" width="8.7109375" style="5" customWidth="1"/>
    <col min="7" max="7" width="3.7109375" style="5" customWidth="1"/>
    <col min="8" max="8" width="4.7109375" style="5" customWidth="1"/>
    <col min="9" max="9" width="8.7109375" style="5" customWidth="1"/>
    <col min="10" max="10" width="3.7109375" style="5" customWidth="1"/>
    <col min="11" max="11" width="4.7109375" style="5" customWidth="1"/>
    <col min="12" max="12" width="8.7109375" style="5" customWidth="1"/>
    <col min="13" max="13" width="5.7109375" style="5" customWidth="1"/>
    <col min="14" max="14" width="3.7109375" style="5" customWidth="1"/>
    <col min="15" max="15" width="4.7109375" style="5" customWidth="1"/>
    <col min="16" max="16" width="6.7109375" style="5" customWidth="1"/>
    <col min="17" max="17" width="2.7109375" style="5" customWidth="1"/>
    <col min="18" max="16384" width="9.140625" style="5"/>
  </cols>
  <sheetData>
    <row r="1" spans="1:19">
      <c r="B1" s="5" t="s">
        <v>263</v>
      </c>
    </row>
    <row r="2" spans="1:19">
      <c r="B2" s="5" t="s">
        <v>264</v>
      </c>
    </row>
    <row r="3" spans="1:19">
      <c r="B3" s="5" t="s">
        <v>265</v>
      </c>
    </row>
    <row r="4" spans="1:19">
      <c r="B4" s="5" t="s">
        <v>266</v>
      </c>
    </row>
    <row r="5" spans="1:19">
      <c r="B5" s="5" t="s">
        <v>124</v>
      </c>
    </row>
    <row r="7" spans="1:19">
      <c r="D7" s="12" t="s">
        <v>87</v>
      </c>
      <c r="E7" s="12"/>
    </row>
    <row r="8" spans="1:19">
      <c r="D8" s="12" t="s">
        <v>88</v>
      </c>
      <c r="E8" s="12"/>
      <c r="I8" s="107" t="s">
        <v>98</v>
      </c>
      <c r="J8" s="107"/>
      <c r="K8" s="12"/>
    </row>
    <row r="9" spans="1:19">
      <c r="D9" s="12" t="s">
        <v>89</v>
      </c>
      <c r="E9" s="12"/>
      <c r="F9" s="107" t="s">
        <v>95</v>
      </c>
      <c r="G9" s="107"/>
      <c r="H9" s="9"/>
      <c r="I9" s="107" t="s">
        <v>99</v>
      </c>
      <c r="J9" s="107"/>
      <c r="K9" s="12"/>
      <c r="L9" s="9" t="s">
        <v>97</v>
      </c>
      <c r="M9" s="9"/>
      <c r="N9" s="9"/>
      <c r="P9" s="107" t="s">
        <v>93</v>
      </c>
      <c r="Q9" s="107"/>
    </row>
    <row r="10" spans="1:19">
      <c r="A10" s="13"/>
      <c r="B10" s="13"/>
      <c r="C10" s="13"/>
      <c r="D10" s="15" t="s">
        <v>90</v>
      </c>
      <c r="E10" s="15"/>
      <c r="F10" s="99" t="s">
        <v>96</v>
      </c>
      <c r="G10" s="99"/>
      <c r="H10" s="63"/>
      <c r="I10" s="108" t="s">
        <v>100</v>
      </c>
      <c r="J10" s="108"/>
      <c r="K10" s="15"/>
      <c r="L10" s="63" t="s">
        <v>96</v>
      </c>
      <c r="M10" s="63"/>
      <c r="N10" s="63"/>
      <c r="O10" s="13"/>
      <c r="P10" s="99" t="s">
        <v>94</v>
      </c>
      <c r="Q10" s="99"/>
      <c r="R10" s="7"/>
      <c r="S10" s="7"/>
    </row>
    <row r="11" spans="1:19">
      <c r="A11" s="5" t="s">
        <v>75</v>
      </c>
      <c r="D11" s="85"/>
      <c r="F11" s="13">
        <f>'Batch Mass Calculation Sheet'!H46</f>
        <v>0</v>
      </c>
      <c r="G11" s="64" t="s">
        <v>45</v>
      </c>
      <c r="H11" s="65"/>
      <c r="I11" s="20"/>
      <c r="J11" s="5" t="s">
        <v>45</v>
      </c>
      <c r="L11" s="13">
        <f>IF(D11="y",F11,I11)</f>
        <v>0</v>
      </c>
      <c r="M11" s="64" t="s">
        <v>45</v>
      </c>
      <c r="N11" s="12" t="s">
        <v>8</v>
      </c>
      <c r="P11" s="86">
        <f>'Target Mix Design Worksheet'!J10</f>
        <v>0</v>
      </c>
      <c r="Q11" s="42" t="s">
        <v>16</v>
      </c>
    </row>
    <row r="12" spans="1:19">
      <c r="A12" s="5" t="s">
        <v>76</v>
      </c>
      <c r="D12" s="85"/>
      <c r="F12" s="14">
        <f>'Batch Mass Calculation Sheet'!H47</f>
        <v>0</v>
      </c>
      <c r="G12" s="66" t="s">
        <v>45</v>
      </c>
      <c r="H12" s="65"/>
      <c r="I12" s="20"/>
      <c r="J12" s="5" t="s">
        <v>45</v>
      </c>
      <c r="L12" s="13">
        <f t="shared" ref="L12:L19" si="0">IF(D12="y",F12,I12)</f>
        <v>0</v>
      </c>
      <c r="M12" s="66" t="s">
        <v>45</v>
      </c>
      <c r="N12" s="12" t="s">
        <v>9</v>
      </c>
      <c r="P12" s="87">
        <f>'Target Mix Design Worksheet'!J11</f>
        <v>0</v>
      </c>
      <c r="Q12" s="42" t="s">
        <v>17</v>
      </c>
    </row>
    <row r="13" spans="1:19">
      <c r="A13" s="5" t="s">
        <v>77</v>
      </c>
      <c r="D13" s="85"/>
      <c r="F13" s="14">
        <f>'Batch Mass Calculation Sheet'!H48</f>
        <v>0</v>
      </c>
      <c r="G13" s="66" t="s">
        <v>45</v>
      </c>
      <c r="H13" s="65"/>
      <c r="I13" s="20"/>
      <c r="J13" s="5" t="s">
        <v>45</v>
      </c>
      <c r="L13" s="13">
        <f t="shared" si="0"/>
        <v>0</v>
      </c>
      <c r="M13" s="66" t="s">
        <v>45</v>
      </c>
      <c r="N13" s="12" t="s">
        <v>10</v>
      </c>
      <c r="P13" s="87">
        <f>'Target Mix Design Worksheet'!J12</f>
        <v>0</v>
      </c>
      <c r="Q13" s="42" t="s">
        <v>92</v>
      </c>
    </row>
    <row r="14" spans="1:19">
      <c r="A14" s="37" t="s">
        <v>148</v>
      </c>
      <c r="D14" s="85"/>
      <c r="F14" s="14">
        <f>'Batch Mass Calculation Sheet'!H49</f>
        <v>0</v>
      </c>
      <c r="G14" s="67" t="s">
        <v>45</v>
      </c>
      <c r="H14" s="65"/>
      <c r="I14" s="20"/>
      <c r="J14" s="37" t="s">
        <v>45</v>
      </c>
      <c r="L14" s="13">
        <f t="shared" si="0"/>
        <v>0</v>
      </c>
      <c r="M14" s="67" t="s">
        <v>45</v>
      </c>
      <c r="N14" s="42" t="s">
        <v>131</v>
      </c>
      <c r="P14" s="87">
        <f>'Target Mix Design Worksheet'!J13</f>
        <v>0</v>
      </c>
      <c r="Q14" s="42" t="s">
        <v>18</v>
      </c>
    </row>
    <row r="15" spans="1:19">
      <c r="A15" s="5" t="s">
        <v>79</v>
      </c>
      <c r="D15" s="85"/>
      <c r="F15" s="14">
        <f>ROUND('Batch Mass Calculation Sheet'!H53/0.1198,0)</f>
        <v>0</v>
      </c>
      <c r="G15" s="66" t="s">
        <v>45</v>
      </c>
      <c r="H15" s="65"/>
      <c r="I15" s="20"/>
      <c r="J15" s="5" t="s">
        <v>45</v>
      </c>
      <c r="L15" s="13">
        <f t="shared" si="0"/>
        <v>0</v>
      </c>
      <c r="M15" s="66" t="s">
        <v>45</v>
      </c>
      <c r="N15" s="12" t="s">
        <v>11</v>
      </c>
      <c r="P15" s="12"/>
      <c r="Q15" s="12"/>
    </row>
    <row r="16" spans="1:19">
      <c r="A16" s="5" t="s">
        <v>86</v>
      </c>
      <c r="D16" s="85"/>
      <c r="F16" s="68">
        <f>'Target Mix Design Worksheet'!E15</f>
        <v>0</v>
      </c>
      <c r="G16" s="66" t="s">
        <v>91</v>
      </c>
      <c r="H16" s="65"/>
      <c r="I16" s="20"/>
      <c r="J16" s="5" t="s">
        <v>91</v>
      </c>
      <c r="L16" s="13">
        <f t="shared" si="0"/>
        <v>0</v>
      </c>
      <c r="M16" s="66" t="s">
        <v>91</v>
      </c>
      <c r="N16" s="12" t="s">
        <v>12</v>
      </c>
      <c r="P16" s="12"/>
      <c r="Q16" s="12"/>
    </row>
    <row r="17" spans="1:17">
      <c r="A17" s="5" t="s">
        <v>58</v>
      </c>
      <c r="D17" s="85"/>
      <c r="F17" s="14">
        <f>ROUND('Batch Mass Calculation Sheet'!H50,0)</f>
        <v>0</v>
      </c>
      <c r="G17" s="66" t="s">
        <v>45</v>
      </c>
      <c r="H17" s="65"/>
      <c r="I17" s="20"/>
      <c r="J17" s="5" t="s">
        <v>45</v>
      </c>
      <c r="L17" s="13">
        <f t="shared" si="0"/>
        <v>0</v>
      </c>
      <c r="M17" s="66" t="s">
        <v>45</v>
      </c>
      <c r="N17" s="42" t="s">
        <v>142</v>
      </c>
      <c r="P17" s="86">
        <f>'Target Mix Design Worksheet'!J16</f>
        <v>0</v>
      </c>
      <c r="Q17" s="42" t="s">
        <v>19</v>
      </c>
    </row>
    <row r="18" spans="1:17">
      <c r="A18" s="5" t="s">
        <v>78</v>
      </c>
      <c r="D18" s="85"/>
      <c r="F18" s="14">
        <f>ROUND('Batch Mass Calculation Sheet'!H51,0)</f>
        <v>0</v>
      </c>
      <c r="G18" s="66" t="s">
        <v>45</v>
      </c>
      <c r="H18" s="65"/>
      <c r="I18" s="20"/>
      <c r="J18" s="5" t="s">
        <v>45</v>
      </c>
      <c r="L18" s="13">
        <f t="shared" si="0"/>
        <v>0</v>
      </c>
      <c r="M18" s="66" t="s">
        <v>45</v>
      </c>
      <c r="N18" s="42" t="s">
        <v>143</v>
      </c>
      <c r="P18" s="87">
        <f>'Target Mix Design Worksheet'!J17</f>
        <v>0</v>
      </c>
      <c r="Q18" s="42" t="s">
        <v>20</v>
      </c>
    </row>
    <row r="19" spans="1:17">
      <c r="A19" s="37" t="s">
        <v>149</v>
      </c>
      <c r="D19" s="85"/>
      <c r="F19" s="14">
        <f>ROUND('Batch Mass Calculation Sheet'!H52,0)</f>
        <v>0</v>
      </c>
      <c r="G19" s="69" t="s">
        <v>45</v>
      </c>
      <c r="H19" s="65"/>
      <c r="I19" s="20"/>
      <c r="J19" s="37" t="s">
        <v>45</v>
      </c>
      <c r="L19" s="13">
        <f t="shared" si="0"/>
        <v>0</v>
      </c>
      <c r="M19" s="67" t="s">
        <v>45</v>
      </c>
      <c r="N19" s="42" t="s">
        <v>144</v>
      </c>
      <c r="P19" s="87">
        <f>'Target Mix Design Worksheet'!J18</f>
        <v>0</v>
      </c>
      <c r="Q19" s="42" t="s">
        <v>21</v>
      </c>
    </row>
    <row r="21" spans="1:17">
      <c r="D21" s="70" t="s">
        <v>101</v>
      </c>
      <c r="L21" s="89">
        <f>'Batch Mass Calculation Sheet'!L33</f>
        <v>0</v>
      </c>
      <c r="M21" s="70" t="s">
        <v>91</v>
      </c>
      <c r="N21" s="42" t="s">
        <v>53</v>
      </c>
    </row>
    <row r="22" spans="1:17">
      <c r="D22" s="5" t="s">
        <v>102</v>
      </c>
      <c r="L22" s="90">
        <f>'Batch Mass Calculation Sheet'!L34</f>
        <v>0</v>
      </c>
      <c r="M22" s="70" t="s">
        <v>91</v>
      </c>
      <c r="N22" s="42" t="s">
        <v>69</v>
      </c>
    </row>
    <row r="23" spans="1:17">
      <c r="D23" s="37" t="s">
        <v>152</v>
      </c>
      <c r="L23" s="90">
        <f>'Batch Mass Calculation Sheet'!L35</f>
        <v>0</v>
      </c>
      <c r="M23" s="71" t="s">
        <v>91</v>
      </c>
      <c r="N23" s="42" t="s">
        <v>132</v>
      </c>
    </row>
    <row r="24" spans="1:17">
      <c r="D24" s="37" t="s">
        <v>157</v>
      </c>
      <c r="L24" s="90">
        <f>ROUND((L17*100)/(100+L21),2)</f>
        <v>0</v>
      </c>
      <c r="M24" s="70" t="s">
        <v>45</v>
      </c>
      <c r="N24" s="42" t="s">
        <v>153</v>
      </c>
    </row>
    <row r="25" spans="1:17">
      <c r="D25" s="37" t="s">
        <v>158</v>
      </c>
      <c r="L25" s="90">
        <f>ROUND((L18*100)/(100+L22),2)</f>
        <v>0</v>
      </c>
      <c r="M25" s="70" t="s">
        <v>45</v>
      </c>
      <c r="N25" s="42" t="s">
        <v>154</v>
      </c>
    </row>
    <row r="26" spans="1:17">
      <c r="D26" s="37" t="s">
        <v>159</v>
      </c>
      <c r="L26" s="90">
        <f>ROUND((L19*100)/(100+L23),2)</f>
        <v>0</v>
      </c>
      <c r="M26" s="71" t="s">
        <v>45</v>
      </c>
      <c r="N26" s="42" t="s">
        <v>155</v>
      </c>
    </row>
    <row r="27" spans="1:17">
      <c r="D27" s="37" t="s">
        <v>160</v>
      </c>
      <c r="L27" s="90">
        <f>L15+(L17-L24)+(L18-L25)+(L19-L26)</f>
        <v>0</v>
      </c>
      <c r="M27" s="70" t="s">
        <v>45</v>
      </c>
      <c r="N27" s="42" t="s">
        <v>156</v>
      </c>
    </row>
    <row r="30" spans="1:17">
      <c r="G30" s="6" t="s">
        <v>103</v>
      </c>
    </row>
    <row r="31" spans="1:17">
      <c r="C31" s="37" t="s">
        <v>289</v>
      </c>
      <c r="L31" s="91">
        <f>IF(L11=0,0,ROUND(L11/(P11*62.4*27),4))</f>
        <v>0</v>
      </c>
      <c r="M31" s="13" t="s">
        <v>104</v>
      </c>
      <c r="N31" s="42" t="s">
        <v>165</v>
      </c>
    </row>
    <row r="32" spans="1:17">
      <c r="C32" s="37" t="s">
        <v>290</v>
      </c>
      <c r="L32" s="92">
        <f>IF(L12=0,0,ROUND(L12/(P12*62.4*27),4))</f>
        <v>0</v>
      </c>
      <c r="M32" s="14" t="s">
        <v>104</v>
      </c>
      <c r="N32" s="42" t="s">
        <v>166</v>
      </c>
    </row>
    <row r="33" spans="1:17">
      <c r="C33" s="37" t="s">
        <v>291</v>
      </c>
      <c r="L33" s="92">
        <f>IF(L13=0,0,ROUND(L13/(P13*62.4*27),4))</f>
        <v>0</v>
      </c>
      <c r="M33" s="14" t="s">
        <v>104</v>
      </c>
      <c r="N33" s="42" t="s">
        <v>167</v>
      </c>
    </row>
    <row r="34" spans="1:17">
      <c r="C34" s="37" t="s">
        <v>292</v>
      </c>
      <c r="L34" s="92">
        <f>IF(L14=0,0,ROUND(L14/(P14*62.4*27),4))</f>
        <v>0</v>
      </c>
      <c r="M34" s="72" t="s">
        <v>104</v>
      </c>
      <c r="N34" s="42" t="s">
        <v>168</v>
      </c>
    </row>
    <row r="35" spans="1:17">
      <c r="C35" s="37" t="s">
        <v>164</v>
      </c>
      <c r="L35" s="92">
        <f>ROUND(L27/(62.4*27),4)</f>
        <v>0</v>
      </c>
      <c r="M35" s="14" t="s">
        <v>104</v>
      </c>
      <c r="N35" s="42" t="s">
        <v>169</v>
      </c>
    </row>
    <row r="36" spans="1:17">
      <c r="C36" s="37" t="s">
        <v>163</v>
      </c>
      <c r="L36" s="92">
        <f>IF(L24=0,0,ROUND(L24/(P17*62.4*27),4))</f>
        <v>0</v>
      </c>
      <c r="M36" s="14" t="s">
        <v>104</v>
      </c>
      <c r="N36" s="42" t="s">
        <v>170</v>
      </c>
    </row>
    <row r="37" spans="1:17">
      <c r="C37" s="37" t="s">
        <v>162</v>
      </c>
      <c r="L37" s="92">
        <f>IF(L25=0,0,ROUND(L25/(P18*62.4*27),4))</f>
        <v>0</v>
      </c>
      <c r="M37" s="14" t="s">
        <v>104</v>
      </c>
      <c r="N37" s="42" t="s">
        <v>171</v>
      </c>
    </row>
    <row r="38" spans="1:17">
      <c r="C38" s="37" t="s">
        <v>161</v>
      </c>
      <c r="L38" s="92">
        <f>IF(L26=0,0,ROUND(L26/(P19*62.4*27),4))</f>
        <v>0</v>
      </c>
      <c r="M38" s="72" t="s">
        <v>104</v>
      </c>
      <c r="N38" s="42" t="s">
        <v>172</v>
      </c>
    </row>
    <row r="39" spans="1:17">
      <c r="C39" s="37" t="s">
        <v>173</v>
      </c>
      <c r="L39" s="92">
        <f>SUM(L31:L38)</f>
        <v>0</v>
      </c>
      <c r="M39" s="14" t="s">
        <v>104</v>
      </c>
      <c r="N39" s="12" t="s">
        <v>107</v>
      </c>
    </row>
    <row r="40" spans="1:17">
      <c r="D40" s="37" t="s">
        <v>241</v>
      </c>
      <c r="L40" s="92">
        <f>ROUND(L39/(1-(0.01*L16)),4)</f>
        <v>0</v>
      </c>
      <c r="M40" s="73" t="s">
        <v>108</v>
      </c>
      <c r="N40" s="12" t="s">
        <v>109</v>
      </c>
    </row>
    <row r="41" spans="1:17">
      <c r="D41" s="5" t="s">
        <v>110</v>
      </c>
      <c r="L41" s="14">
        <f>IF(L11=0,0,ROUND((L11/L40),2))</f>
        <v>0</v>
      </c>
      <c r="M41" s="73" t="s">
        <v>108</v>
      </c>
      <c r="N41" s="12" t="s">
        <v>111</v>
      </c>
    </row>
    <row r="42" spans="1:17">
      <c r="D42" s="5" t="s">
        <v>112</v>
      </c>
      <c r="L42" s="14">
        <f>'Target Mix Design Worksheet'!G40</f>
        <v>0</v>
      </c>
      <c r="M42" s="73" t="s">
        <v>108</v>
      </c>
      <c r="N42" s="12" t="s">
        <v>113</v>
      </c>
    </row>
    <row r="43" spans="1:17">
      <c r="D43" s="37" t="s">
        <v>174</v>
      </c>
    </row>
    <row r="44" spans="1:17">
      <c r="D44" s="37" t="s">
        <v>242</v>
      </c>
      <c r="L44" s="13">
        <f>IF(L41=0,0,ROUND((L41/L42)*100,2))</f>
        <v>0</v>
      </c>
      <c r="M44" s="7" t="s">
        <v>91</v>
      </c>
      <c r="N44" s="12" t="s">
        <v>68</v>
      </c>
    </row>
    <row r="45" spans="1:17">
      <c r="D45" s="37" t="s">
        <v>175</v>
      </c>
      <c r="L45" s="74">
        <f>IF(L27=0,0,ROUND(L27/SUM(L11:L14),2))</f>
        <v>0</v>
      </c>
      <c r="M45" s="7"/>
    </row>
    <row r="46" spans="1:17" ht="5.0999999999999996" customHeight="1"/>
    <row r="47" spans="1:17">
      <c r="A47" s="75" t="s">
        <v>115</v>
      </c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</row>
    <row r="48" spans="1:17" ht="5.0999999999999996" customHeight="1">
      <c r="M48" s="7"/>
    </row>
    <row r="49" spans="4:13">
      <c r="D49" s="37" t="s">
        <v>275</v>
      </c>
      <c r="L49" s="76">
        <f>ROUND('Target Mix Design Worksheet'!G44*'Yield Calculation Worksheet'!L44*0.01,0)</f>
        <v>0</v>
      </c>
      <c r="M49" s="77" t="s">
        <v>108</v>
      </c>
    </row>
    <row r="50" spans="4:13">
      <c r="D50" s="37" t="s">
        <v>176</v>
      </c>
    </row>
    <row r="51" spans="4:13">
      <c r="D51" s="37" t="s">
        <v>276</v>
      </c>
      <c r="L51" s="76">
        <f>ROUND('Target Mix Design Worksheet'!G45*'Yield Calculation Worksheet'!L44*0.01,0)</f>
        <v>0</v>
      </c>
      <c r="M51" s="77" t="s">
        <v>108</v>
      </c>
    </row>
    <row r="52" spans="4:13">
      <c r="D52" s="37" t="s">
        <v>177</v>
      </c>
    </row>
    <row r="53" spans="4:13">
      <c r="D53" s="37" t="s">
        <v>277</v>
      </c>
      <c r="L53" s="76">
        <f>ROUND('Target Mix Design Worksheet'!G46*'Yield Calculation Worksheet'!L44*0.01,0)</f>
        <v>0</v>
      </c>
      <c r="M53" s="77" t="s">
        <v>108</v>
      </c>
    </row>
    <row r="54" spans="4:13">
      <c r="D54" s="37" t="s">
        <v>243</v>
      </c>
    </row>
  </sheetData>
  <sheetProtection password="C89B" sheet="1" objects="1" scenarios="1" selectLockedCells="1"/>
  <mergeCells count="7">
    <mergeCell ref="P9:Q9"/>
    <mergeCell ref="P10:Q10"/>
    <mergeCell ref="F9:G9"/>
    <mergeCell ref="F10:G10"/>
    <mergeCell ref="I8:J8"/>
    <mergeCell ref="I9:J9"/>
    <mergeCell ref="I10:J10"/>
  </mergeCells>
  <phoneticPr fontId="2" type="noConversion"/>
  <pageMargins left="0.25" right="0.25" top="0.75" bottom="0.75" header="0.5" footer="0.5"/>
  <pageSetup orientation="portrait" r:id="rId1"/>
  <headerFooter alignWithMargins="0">
    <oddHeader>&amp;CYIELD CALCULATION WORKSHEET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Q38"/>
  <sheetViews>
    <sheetView showGridLines="0" workbookViewId="0">
      <selection activeCell="J22" sqref="J22"/>
    </sheetView>
  </sheetViews>
  <sheetFormatPr defaultRowHeight="12.75"/>
  <cols>
    <col min="3" max="3" width="8.7109375" customWidth="1"/>
    <col min="4" max="4" width="5.7109375" customWidth="1"/>
    <col min="7" max="7" width="8.7109375" customWidth="1"/>
    <col min="8" max="9" width="3.7109375" customWidth="1"/>
    <col min="10" max="10" width="8.7109375" customWidth="1"/>
    <col min="11" max="11" width="5.7109375" customWidth="1"/>
    <col min="12" max="12" width="3.7109375" customWidth="1"/>
    <col min="17" max="17" width="9.140625" style="4"/>
  </cols>
  <sheetData>
    <row r="1" spans="1:9">
      <c r="A1" t="s">
        <v>116</v>
      </c>
    </row>
    <row r="2" spans="1:9">
      <c r="A2" t="s">
        <v>117</v>
      </c>
    </row>
    <row r="4" spans="1:9">
      <c r="G4" s="110" t="s">
        <v>97</v>
      </c>
      <c r="H4" s="110"/>
    </row>
    <row r="5" spans="1:9">
      <c r="G5" s="110" t="s">
        <v>96</v>
      </c>
      <c r="H5" s="110"/>
    </row>
    <row r="6" spans="1:9">
      <c r="B6" t="s">
        <v>75</v>
      </c>
      <c r="G6" s="28"/>
      <c r="H6" t="s">
        <v>45</v>
      </c>
      <c r="I6" s="3" t="s">
        <v>8</v>
      </c>
    </row>
    <row r="7" spans="1:9">
      <c r="B7" t="s">
        <v>76</v>
      </c>
      <c r="G7" s="20"/>
      <c r="H7" t="s">
        <v>45</v>
      </c>
      <c r="I7" s="3" t="s">
        <v>9</v>
      </c>
    </row>
    <row r="8" spans="1:9">
      <c r="B8" t="s">
        <v>77</v>
      </c>
      <c r="G8" s="20"/>
      <c r="H8" t="s">
        <v>45</v>
      </c>
      <c r="I8" s="3" t="s">
        <v>10</v>
      </c>
    </row>
    <row r="9" spans="1:9">
      <c r="B9" s="39" t="s">
        <v>148</v>
      </c>
      <c r="G9" s="20"/>
      <c r="H9" s="39" t="s">
        <v>45</v>
      </c>
      <c r="I9" s="40" t="s">
        <v>131</v>
      </c>
    </row>
    <row r="10" spans="1:9">
      <c r="B10" t="s">
        <v>79</v>
      </c>
      <c r="D10" s="28"/>
      <c r="E10" s="39" t="s">
        <v>244</v>
      </c>
      <c r="G10" s="25">
        <f>ROUND(D10*8.345,2)</f>
        <v>0</v>
      </c>
      <c r="H10" t="s">
        <v>45</v>
      </c>
      <c r="I10" s="3" t="s">
        <v>11</v>
      </c>
    </row>
    <row r="11" spans="1:9">
      <c r="B11" t="s">
        <v>86</v>
      </c>
      <c r="G11" s="20"/>
      <c r="H11" t="s">
        <v>91</v>
      </c>
      <c r="I11" s="3" t="s">
        <v>12</v>
      </c>
    </row>
    <row r="12" spans="1:9">
      <c r="B12" t="s">
        <v>58</v>
      </c>
      <c r="G12" s="20"/>
      <c r="H12" t="s">
        <v>45</v>
      </c>
      <c r="I12" s="3" t="s">
        <v>13</v>
      </c>
    </row>
    <row r="13" spans="1:9">
      <c r="B13" t="s">
        <v>78</v>
      </c>
      <c r="G13" s="20"/>
      <c r="H13" t="s">
        <v>45</v>
      </c>
      <c r="I13" s="3" t="s">
        <v>14</v>
      </c>
    </row>
    <row r="14" spans="1:9">
      <c r="B14" s="39" t="s">
        <v>149</v>
      </c>
      <c r="G14" s="20"/>
      <c r="H14" s="39" t="s">
        <v>45</v>
      </c>
      <c r="I14" s="40" t="s">
        <v>15</v>
      </c>
    </row>
    <row r="17" spans="2:14">
      <c r="C17" t="s">
        <v>118</v>
      </c>
      <c r="G17" s="29"/>
      <c r="H17" t="s">
        <v>45</v>
      </c>
      <c r="I17" s="40" t="s">
        <v>178</v>
      </c>
    </row>
    <row r="18" spans="2:14">
      <c r="C18" t="s">
        <v>278</v>
      </c>
      <c r="G18" s="30"/>
      <c r="H18" t="s">
        <v>45</v>
      </c>
      <c r="I18" s="40" t="s">
        <v>179</v>
      </c>
    </row>
    <row r="19" spans="2:14">
      <c r="C19" s="39" t="s">
        <v>293</v>
      </c>
      <c r="G19" s="26">
        <f>G18-G17</f>
        <v>0</v>
      </c>
      <c r="H19" t="s">
        <v>45</v>
      </c>
      <c r="I19" s="40" t="s">
        <v>180</v>
      </c>
    </row>
    <row r="21" spans="2:14">
      <c r="N21" s="27"/>
    </row>
    <row r="22" spans="2:14">
      <c r="B22" t="s">
        <v>119</v>
      </c>
      <c r="J22" s="28"/>
      <c r="K22" t="s">
        <v>121</v>
      </c>
      <c r="L22" s="40" t="s">
        <v>181</v>
      </c>
    </row>
    <row r="23" spans="2:14">
      <c r="B23" s="39" t="s">
        <v>245</v>
      </c>
      <c r="J23" s="2">
        <f>IF(G19=0,0,ROUND(G19/J22,2))</f>
        <v>0</v>
      </c>
      <c r="K23" t="s">
        <v>122</v>
      </c>
      <c r="L23" s="40" t="s">
        <v>246</v>
      </c>
    </row>
    <row r="24" spans="2:14">
      <c r="B24" s="39" t="s">
        <v>279</v>
      </c>
      <c r="J24" s="2">
        <f>ROUND(SUM(G6:G10,G12:G13),2)</f>
        <v>0</v>
      </c>
      <c r="K24" t="s">
        <v>122</v>
      </c>
      <c r="L24" s="40" t="s">
        <v>247</v>
      </c>
    </row>
    <row r="25" spans="2:14">
      <c r="B25" s="39" t="s">
        <v>280</v>
      </c>
      <c r="J25" s="2">
        <f>IF(J24=0,0,ROUND(J24/(J23*27),4))</f>
        <v>0</v>
      </c>
      <c r="K25" t="s">
        <v>104</v>
      </c>
      <c r="L25" s="40" t="s">
        <v>248</v>
      </c>
    </row>
    <row r="26" spans="2:14">
      <c r="B26" s="39" t="s">
        <v>281</v>
      </c>
      <c r="J26" s="2">
        <f>IF(G6=0,0,ROUND(G6/J25,2))</f>
        <v>0</v>
      </c>
      <c r="K26" t="s">
        <v>108</v>
      </c>
      <c r="L26" s="40" t="s">
        <v>111</v>
      </c>
    </row>
    <row r="27" spans="2:14">
      <c r="B27" t="s">
        <v>120</v>
      </c>
      <c r="J27" s="20"/>
      <c r="K27" t="s">
        <v>108</v>
      </c>
      <c r="L27" s="40" t="s">
        <v>113</v>
      </c>
    </row>
    <row r="28" spans="2:14">
      <c r="C28" t="s">
        <v>114</v>
      </c>
      <c r="L28" s="3"/>
    </row>
    <row r="29" spans="2:14">
      <c r="B29" s="39" t="s">
        <v>282</v>
      </c>
      <c r="J29" s="1">
        <f>IF(J26=0,0,ROUND((J26/J27)*100,2))</f>
        <v>0</v>
      </c>
      <c r="K29" t="s">
        <v>91</v>
      </c>
      <c r="L29" s="3" t="s">
        <v>68</v>
      </c>
    </row>
    <row r="31" spans="2:14">
      <c r="B31" s="109" t="s">
        <v>123</v>
      </c>
      <c r="C31" s="109"/>
      <c r="D31" s="109"/>
      <c r="E31" s="109"/>
      <c r="F31" s="109"/>
      <c r="G31" s="109"/>
      <c r="H31" s="109"/>
      <c r="I31" s="109"/>
      <c r="J31" s="109"/>
      <c r="K31" s="109"/>
      <c r="L31" s="109"/>
    </row>
    <row r="33" spans="2:11">
      <c r="B33" s="39" t="s">
        <v>275</v>
      </c>
      <c r="J33" s="24">
        <f>ROUND('Target Mix Design Worksheet'!G44*J29*0.01,0)</f>
        <v>0</v>
      </c>
      <c r="K33" s="23" t="s">
        <v>108</v>
      </c>
    </row>
    <row r="34" spans="2:11">
      <c r="B34" s="39" t="s">
        <v>176</v>
      </c>
    </row>
    <row r="35" spans="2:11">
      <c r="B35" s="39" t="s">
        <v>276</v>
      </c>
      <c r="J35" s="24">
        <f>ROUND('Target Mix Design Worksheet'!G45*J29*0.01,0)</f>
        <v>0</v>
      </c>
      <c r="K35" s="23" t="s">
        <v>108</v>
      </c>
    </row>
    <row r="36" spans="2:11">
      <c r="B36" s="39" t="s">
        <v>177</v>
      </c>
    </row>
    <row r="37" spans="2:11">
      <c r="B37" s="39" t="s">
        <v>283</v>
      </c>
      <c r="J37" s="24">
        <f>ROUND('Target Mix Design Worksheet'!G46*J29*0.01,0)</f>
        <v>0</v>
      </c>
      <c r="K37" s="23" t="s">
        <v>108</v>
      </c>
    </row>
    <row r="38" spans="2:11">
      <c r="B38" s="39" t="s">
        <v>243</v>
      </c>
    </row>
  </sheetData>
  <sheetProtection password="C89B" sheet="1" objects="1" scenarios="1" selectLockedCells="1"/>
  <mergeCells count="3">
    <mergeCell ref="B31:L31"/>
    <mergeCell ref="G5:H5"/>
    <mergeCell ref="G4:H4"/>
  </mergeCells>
  <phoneticPr fontId="2" type="noConversion"/>
  <pageMargins left="0.5" right="0.5" top="1" bottom="0.75" header="0.5" footer="0.5"/>
  <pageSetup orientation="portrait" r:id="rId1"/>
  <headerFooter alignWithMargins="0">
    <oddHeader>&amp;CYield Calculation Worksheet
Unit Weight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B65"/>
  <sheetViews>
    <sheetView workbookViewId="0">
      <selection activeCell="D5" sqref="D5:E5"/>
    </sheetView>
  </sheetViews>
  <sheetFormatPr defaultRowHeight="12.75"/>
  <cols>
    <col min="1" max="1" width="9.140625" style="3"/>
    <col min="2" max="2" width="40.7109375" customWidth="1"/>
  </cols>
  <sheetData>
    <row r="1" spans="1:2">
      <c r="A1" s="88" t="s">
        <v>129</v>
      </c>
      <c r="B1" s="88" t="s">
        <v>130</v>
      </c>
    </row>
    <row r="2" spans="1:2">
      <c r="A2" s="33" t="s">
        <v>258</v>
      </c>
      <c r="B2" s="80" t="s">
        <v>259</v>
      </c>
    </row>
    <row r="3" spans="1:2">
      <c r="A3" s="3" t="s">
        <v>8</v>
      </c>
      <c r="B3" s="39" t="s">
        <v>182</v>
      </c>
    </row>
    <row r="4" spans="1:2">
      <c r="A4" s="3" t="s">
        <v>9</v>
      </c>
      <c r="B4" s="39" t="s">
        <v>183</v>
      </c>
    </row>
    <row r="5" spans="1:2">
      <c r="A5" s="3" t="s">
        <v>10</v>
      </c>
      <c r="B5" s="39" t="s">
        <v>184</v>
      </c>
    </row>
    <row r="6" spans="1:2">
      <c r="A6" s="3" t="s">
        <v>131</v>
      </c>
      <c r="B6" s="39" t="s">
        <v>185</v>
      </c>
    </row>
    <row r="7" spans="1:2">
      <c r="A7" s="3" t="s">
        <v>11</v>
      </c>
      <c r="B7" s="39" t="s">
        <v>186</v>
      </c>
    </row>
    <row r="8" spans="1:2">
      <c r="A8" s="3" t="s">
        <v>12</v>
      </c>
      <c r="B8" s="39" t="s">
        <v>187</v>
      </c>
    </row>
    <row r="9" spans="1:2">
      <c r="A9" s="3" t="s">
        <v>13</v>
      </c>
      <c r="B9" s="39" t="s">
        <v>188</v>
      </c>
    </row>
    <row r="10" spans="1:2">
      <c r="A10" s="3" t="s">
        <v>14</v>
      </c>
      <c r="B10" s="39" t="s">
        <v>204</v>
      </c>
    </row>
    <row r="11" spans="1:2">
      <c r="A11" s="3" t="s">
        <v>15</v>
      </c>
      <c r="B11" s="39" t="s">
        <v>189</v>
      </c>
    </row>
    <row r="12" spans="1:2">
      <c r="A12" s="3" t="s">
        <v>16</v>
      </c>
      <c r="B12" s="39" t="s">
        <v>190</v>
      </c>
    </row>
    <row r="13" spans="1:2">
      <c r="A13" s="3" t="s">
        <v>17</v>
      </c>
      <c r="B13" s="39" t="s">
        <v>191</v>
      </c>
    </row>
    <row r="14" spans="1:2">
      <c r="A14" s="3" t="s">
        <v>92</v>
      </c>
      <c r="B14" s="39" t="s">
        <v>192</v>
      </c>
    </row>
    <row r="15" spans="1:2">
      <c r="A15" s="3" t="s">
        <v>18</v>
      </c>
      <c r="B15" s="39" t="s">
        <v>193</v>
      </c>
    </row>
    <row r="16" spans="1:2">
      <c r="A16" s="3" t="s">
        <v>19</v>
      </c>
      <c r="B16" s="39" t="s">
        <v>194</v>
      </c>
    </row>
    <row r="17" spans="1:2">
      <c r="A17" s="3" t="s">
        <v>20</v>
      </c>
      <c r="B17" s="39" t="s">
        <v>205</v>
      </c>
    </row>
    <row r="18" spans="1:2">
      <c r="A18" s="3" t="s">
        <v>21</v>
      </c>
      <c r="B18" s="39" t="s">
        <v>195</v>
      </c>
    </row>
    <row r="19" spans="1:2">
      <c r="A19" s="3" t="s">
        <v>22</v>
      </c>
      <c r="B19" s="39" t="s">
        <v>196</v>
      </c>
    </row>
    <row r="20" spans="1:2">
      <c r="A20" s="3" t="s">
        <v>23</v>
      </c>
      <c r="B20" s="39" t="s">
        <v>197</v>
      </c>
    </row>
    <row r="21" spans="1:2">
      <c r="A21" s="3" t="s">
        <v>24</v>
      </c>
      <c r="B21" s="39" t="s">
        <v>198</v>
      </c>
    </row>
    <row r="22" spans="1:2">
      <c r="A22" s="3" t="s">
        <v>25</v>
      </c>
      <c r="B22" s="39" t="s">
        <v>199</v>
      </c>
    </row>
    <row r="23" spans="1:2">
      <c r="A23" s="3" t="s">
        <v>26</v>
      </c>
      <c r="B23" s="39" t="s">
        <v>200</v>
      </c>
    </row>
    <row r="24" spans="1:2">
      <c r="A24" s="3" t="s">
        <v>28</v>
      </c>
      <c r="B24" s="39" t="s">
        <v>201</v>
      </c>
    </row>
    <row r="25" spans="1:2">
      <c r="A25" s="3" t="s">
        <v>30</v>
      </c>
      <c r="B25" s="39" t="s">
        <v>202</v>
      </c>
    </row>
    <row r="26" spans="1:2">
      <c r="A26" s="3" t="s">
        <v>32</v>
      </c>
      <c r="B26" s="39" t="s">
        <v>203</v>
      </c>
    </row>
    <row r="27" spans="1:2">
      <c r="A27" s="3" t="s">
        <v>105</v>
      </c>
      <c r="B27" s="39" t="s">
        <v>206</v>
      </c>
    </row>
    <row r="28" spans="1:2">
      <c r="A28" s="3" t="s">
        <v>106</v>
      </c>
      <c r="B28" s="39" t="s">
        <v>207</v>
      </c>
    </row>
    <row r="29" spans="1:2">
      <c r="A29" s="40" t="s">
        <v>134</v>
      </c>
      <c r="B29" s="39" t="s">
        <v>208</v>
      </c>
    </row>
    <row r="30" spans="1:2">
      <c r="A30" s="40" t="s">
        <v>142</v>
      </c>
      <c r="B30" s="39" t="s">
        <v>209</v>
      </c>
    </row>
    <row r="31" spans="1:2">
      <c r="A31" s="40" t="s">
        <v>143</v>
      </c>
      <c r="B31" s="39" t="s">
        <v>210</v>
      </c>
    </row>
    <row r="32" spans="1:2">
      <c r="A32" s="40" t="s">
        <v>144</v>
      </c>
      <c r="B32" s="39" t="s">
        <v>211</v>
      </c>
    </row>
    <row r="33" spans="1:2">
      <c r="A33" s="40" t="s">
        <v>146</v>
      </c>
      <c r="B33" s="39" t="s">
        <v>212</v>
      </c>
    </row>
    <row r="34" spans="1:2">
      <c r="A34" s="40" t="s">
        <v>147</v>
      </c>
      <c r="B34" s="39" t="s">
        <v>213</v>
      </c>
    </row>
    <row r="35" spans="1:2">
      <c r="A35" s="40" t="s">
        <v>153</v>
      </c>
      <c r="B35" s="39" t="s">
        <v>214</v>
      </c>
    </row>
    <row r="36" spans="1:2">
      <c r="A36" s="40" t="s">
        <v>154</v>
      </c>
      <c r="B36" s="39" t="s">
        <v>215</v>
      </c>
    </row>
    <row r="37" spans="1:2">
      <c r="A37" s="40" t="s">
        <v>155</v>
      </c>
      <c r="B37" s="39" t="s">
        <v>216</v>
      </c>
    </row>
    <row r="38" spans="1:2">
      <c r="A38" s="40" t="s">
        <v>156</v>
      </c>
      <c r="B38" s="39" t="s">
        <v>217</v>
      </c>
    </row>
    <row r="39" spans="1:2">
      <c r="A39" s="40" t="s">
        <v>165</v>
      </c>
      <c r="B39" s="39" t="s">
        <v>218</v>
      </c>
    </row>
    <row r="40" spans="1:2">
      <c r="A40" s="40" t="s">
        <v>166</v>
      </c>
      <c r="B40" s="39" t="s">
        <v>219</v>
      </c>
    </row>
    <row r="41" spans="1:2">
      <c r="A41" s="40" t="s">
        <v>167</v>
      </c>
      <c r="B41" s="39" t="s">
        <v>220</v>
      </c>
    </row>
    <row r="42" spans="1:2">
      <c r="A42" s="40" t="s">
        <v>168</v>
      </c>
      <c r="B42" s="39" t="s">
        <v>221</v>
      </c>
    </row>
    <row r="43" spans="1:2">
      <c r="A43" s="40" t="s">
        <v>169</v>
      </c>
      <c r="B43" s="39" t="s">
        <v>222</v>
      </c>
    </row>
    <row r="44" spans="1:2">
      <c r="A44" s="40" t="s">
        <v>170</v>
      </c>
      <c r="B44" s="39" t="s">
        <v>223</v>
      </c>
    </row>
    <row r="45" spans="1:2">
      <c r="A45" s="40" t="s">
        <v>171</v>
      </c>
      <c r="B45" s="39" t="s">
        <v>224</v>
      </c>
    </row>
    <row r="46" spans="1:2">
      <c r="A46" s="40" t="s">
        <v>172</v>
      </c>
      <c r="B46" s="39" t="s">
        <v>225</v>
      </c>
    </row>
    <row r="47" spans="1:2">
      <c r="A47" s="40" t="s">
        <v>178</v>
      </c>
      <c r="B47" s="39" t="s">
        <v>226</v>
      </c>
    </row>
    <row r="48" spans="1:2">
      <c r="A48" s="40" t="s">
        <v>179</v>
      </c>
      <c r="B48" s="39" t="s">
        <v>227</v>
      </c>
    </row>
    <row r="49" spans="1:2">
      <c r="A49" s="40" t="s">
        <v>180</v>
      </c>
      <c r="B49" s="39" t="s">
        <v>228</v>
      </c>
    </row>
    <row r="50" spans="1:2">
      <c r="A50" s="40" t="s">
        <v>181</v>
      </c>
      <c r="B50" s="39" t="s">
        <v>249</v>
      </c>
    </row>
    <row r="51" spans="1:2">
      <c r="A51" s="40" t="s">
        <v>246</v>
      </c>
      <c r="B51" s="39" t="s">
        <v>250</v>
      </c>
    </row>
    <row r="52" spans="1:2">
      <c r="A52" s="40" t="s">
        <v>247</v>
      </c>
      <c r="B52" s="39" t="s">
        <v>251</v>
      </c>
    </row>
    <row r="53" spans="1:2">
      <c r="A53" s="40" t="s">
        <v>248</v>
      </c>
      <c r="B53" s="39" t="s">
        <v>252</v>
      </c>
    </row>
    <row r="54" spans="1:2">
      <c r="A54" s="40"/>
      <c r="B54" s="39"/>
    </row>
    <row r="55" spans="1:2">
      <c r="A55" s="40"/>
      <c r="B55" s="39"/>
    </row>
    <row r="56" spans="1:2">
      <c r="A56" s="40" t="s">
        <v>107</v>
      </c>
      <c r="B56" s="39" t="s">
        <v>253</v>
      </c>
    </row>
    <row r="57" spans="1:2">
      <c r="A57" s="40" t="s">
        <v>109</v>
      </c>
      <c r="B57" s="39" t="s">
        <v>254</v>
      </c>
    </row>
    <row r="58" spans="1:2">
      <c r="A58" s="40" t="s">
        <v>111</v>
      </c>
      <c r="B58" s="39" t="s">
        <v>255</v>
      </c>
    </row>
    <row r="59" spans="1:2">
      <c r="A59" s="40" t="s">
        <v>113</v>
      </c>
      <c r="B59" s="39" t="s">
        <v>256</v>
      </c>
    </row>
    <row r="60" spans="1:2">
      <c r="A60" s="40" t="s">
        <v>68</v>
      </c>
      <c r="B60" s="39" t="s">
        <v>257</v>
      </c>
    </row>
    <row r="61" spans="1:2">
      <c r="A61" s="40"/>
      <c r="B61" s="39"/>
    </row>
    <row r="62" spans="1:2">
      <c r="A62" s="40"/>
      <c r="B62" s="39"/>
    </row>
    <row r="63" spans="1:2">
      <c r="A63" s="40" t="s">
        <v>53</v>
      </c>
      <c r="B63" s="39" t="s">
        <v>229</v>
      </c>
    </row>
    <row r="64" spans="1:2">
      <c r="A64" s="40" t="s">
        <v>69</v>
      </c>
      <c r="B64" s="39" t="s">
        <v>230</v>
      </c>
    </row>
    <row r="65" spans="1:2">
      <c r="A65" s="40" t="s">
        <v>132</v>
      </c>
      <c r="B65" s="39" t="s">
        <v>231</v>
      </c>
    </row>
  </sheetData>
  <sheetProtection password="C89B" sheet="1" objects="1" scenarios="1" selectLockedCell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Target Mix Design Worksheet</vt:lpstr>
      <vt:lpstr>Batch Mass Calculation Sheet</vt:lpstr>
      <vt:lpstr>Yield Calculation Worksheet</vt:lpstr>
      <vt:lpstr>Unit Weight Yield Calculation</vt:lpstr>
      <vt:lpstr>Reference</vt:lpstr>
    </vt:vector>
  </TitlesOfParts>
  <Company>Nebraska Dept. of Roads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Roy Leach</dc:creator>
  <cp:lastModifiedBy> </cp:lastModifiedBy>
  <cp:lastPrinted>2014-11-12T19:13:35Z</cp:lastPrinted>
  <dcterms:created xsi:type="dcterms:W3CDTF">2004-05-11T13:33:51Z</dcterms:created>
  <dcterms:modified xsi:type="dcterms:W3CDTF">2016-03-12T14:42:58Z</dcterms:modified>
</cp:coreProperties>
</file>